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85" tabRatio="557" activeTab="0"/>
  </bookViews>
  <sheets>
    <sheet name="Terochki.ru" sheetId="1" r:id="rId1"/>
    <sheet name="Btfly.ru" sheetId="2" r:id="rId2"/>
    <sheet name="Warbrushes.ru" sheetId="3" r:id="rId3"/>
    <sheet name="2Resnichki.ru" sheetId="4" r:id="rId4"/>
    <sheet name="Сarapky.ru" sheetId="5" r:id="rId5"/>
    <sheet name="Massagerell.ru" sheetId="6" r:id="rId6"/>
  </sheets>
  <definedNames/>
  <calcPr fullCalcOnLoad="1"/>
</workbook>
</file>

<file path=xl/sharedStrings.xml><?xml version="1.0" encoding="utf-8"?>
<sst xmlns="http://schemas.openxmlformats.org/spreadsheetml/2006/main" count="526" uniqueCount="420">
  <si>
    <t>Артикул</t>
  </si>
  <si>
    <t>Сумма</t>
  </si>
  <si>
    <t>Тёрка ZigZag</t>
  </si>
  <si>
    <t>Полировка 3083S</t>
  </si>
  <si>
    <t>Ell-193</t>
  </si>
  <si>
    <t>Ell-215  salon</t>
  </si>
  <si>
    <t>Ell-216  salon</t>
  </si>
  <si>
    <t>Ell-252</t>
  </si>
  <si>
    <t>Ell-250</t>
  </si>
  <si>
    <t>Количество    с  заточкой</t>
  </si>
  <si>
    <t>Цена  без заточки</t>
  </si>
  <si>
    <t>Гоудастер</t>
  </si>
  <si>
    <t>Стеклянная пилка 12 см</t>
  </si>
  <si>
    <t>Стеклянная пилка 9 см</t>
  </si>
  <si>
    <t>Лазерная тёрка 1023 белая</t>
  </si>
  <si>
    <t>Лазерная тёрка 1024 Mini</t>
  </si>
  <si>
    <t>Карандаш для кутикулы</t>
  </si>
  <si>
    <t>Лазерная тёрка 1023 Nickel</t>
  </si>
  <si>
    <t>Цена  за шт.</t>
  </si>
  <si>
    <t xml:space="preserve">Количество         </t>
  </si>
  <si>
    <t xml:space="preserve">Незагрязинки </t>
  </si>
  <si>
    <t xml:space="preserve">Цена  </t>
  </si>
  <si>
    <t>Итоговая сумма по массажёрам</t>
  </si>
  <si>
    <t>Итоговая сумма по теркам и инструменту</t>
  </si>
  <si>
    <t>Царапки  розовые</t>
  </si>
  <si>
    <t>Царапки  светло-розовые</t>
  </si>
  <si>
    <t>Царапки  красные</t>
  </si>
  <si>
    <t>Царапки  зелёные</t>
  </si>
  <si>
    <t>Царапки  синие</t>
  </si>
  <si>
    <t>Царапки  фиолетовые</t>
  </si>
  <si>
    <t>Царапки  чёрные</t>
  </si>
  <si>
    <t>Царапки  прозрачные</t>
  </si>
  <si>
    <t>Царапки для собак</t>
  </si>
  <si>
    <t>Царапки серые S</t>
  </si>
  <si>
    <t>Царапки серые M</t>
  </si>
  <si>
    <t>Царапки серые L</t>
  </si>
  <si>
    <t>Царапки серые XL</t>
  </si>
  <si>
    <t>Царапки серые XXL</t>
  </si>
  <si>
    <t>Царапки розовые S</t>
  </si>
  <si>
    <t>Царапки розовые M</t>
  </si>
  <si>
    <t>Царапки розовые L</t>
  </si>
  <si>
    <t>Итоговая сумма по всему заказу</t>
  </si>
  <si>
    <t>Массажер  двухволновой</t>
  </si>
  <si>
    <t>Чесалка с металическим наконечником</t>
  </si>
  <si>
    <t>Чесалка с тонкопластиковым наконечником</t>
  </si>
  <si>
    <t>Тёрки                www.btfly.ru</t>
  </si>
  <si>
    <t>Массажеры              www.massagerell.ru</t>
  </si>
  <si>
    <t>Цена  за упаковку</t>
  </si>
  <si>
    <t>01 Сплошная радость</t>
  </si>
  <si>
    <t>02 Карнавальная ночь</t>
  </si>
  <si>
    <t>03 Особый взгляд</t>
  </si>
  <si>
    <t>04 Мечты Шахерезады</t>
  </si>
  <si>
    <t>05 Сияние луны</t>
  </si>
  <si>
    <t>06 Восточная сказка</t>
  </si>
  <si>
    <t>07 Чарующий взмах</t>
  </si>
  <si>
    <t>08 Естественная красота</t>
  </si>
  <si>
    <t>09 Корона Императрицы</t>
  </si>
  <si>
    <t>11 Любовный треугольник</t>
  </si>
  <si>
    <t>14 Незабудки</t>
  </si>
  <si>
    <t>16 Вишнёвый сад</t>
  </si>
  <si>
    <t>17 Пылающий огонь</t>
  </si>
  <si>
    <t>18 Сплошная радость</t>
  </si>
  <si>
    <t>60 Восьмиресничные 13 мм</t>
  </si>
  <si>
    <t>Пучки (0.15 мм толщина)</t>
  </si>
  <si>
    <t>61 Восьмиресничные 11 мм</t>
  </si>
  <si>
    <t>62 Восьмиресничные 9 мм</t>
  </si>
  <si>
    <t>63 Восьмиресничные  MIX</t>
  </si>
  <si>
    <t>64 Трёхресничные  13 мм</t>
  </si>
  <si>
    <t>65 Трёхресничные 11 мм</t>
  </si>
  <si>
    <t>66 Трёхресничные 9 мм</t>
  </si>
  <si>
    <t>67 Трёхресничные  MIX</t>
  </si>
  <si>
    <t>80 Двадцатьпяточка 14 мм</t>
  </si>
  <si>
    <t>81 Двадцатьпяточка 12 мм</t>
  </si>
  <si>
    <t>82 Двадцатьпяточка 10 мм</t>
  </si>
  <si>
    <t>83 Двадцатьпяточка MIX</t>
  </si>
  <si>
    <t>84 Двадцаточка 14 мм</t>
  </si>
  <si>
    <t>85 Двадцаточка 12 мм</t>
  </si>
  <si>
    <t>86 Двадцаточка 10 мм</t>
  </si>
  <si>
    <t>87 Двадцаточка MIX</t>
  </si>
  <si>
    <t>Итоговая сумма по ресничкам</t>
  </si>
  <si>
    <t>Одиночные реснички (0.20 и 0.25 мм)</t>
  </si>
  <si>
    <t>Царапки для кошек</t>
  </si>
  <si>
    <t xml:space="preserve">Пилка для когтей </t>
  </si>
  <si>
    <t>Пилка для подпиливания когтей</t>
  </si>
  <si>
    <t>Незагрязинки серые  S (маленькие)</t>
  </si>
  <si>
    <t>Незагрязинки серые  M (средние)</t>
  </si>
  <si>
    <t>Незагрязинки серые L (большие)</t>
  </si>
  <si>
    <t>Незагрязинки розовые L (большие)</t>
  </si>
  <si>
    <t>Незагрязинки розовые M (средние)</t>
  </si>
  <si>
    <t>Незагрязинки розовые  S (маленькие)</t>
  </si>
  <si>
    <t>Итоговая сумма по царапкам и незагрязинкам:</t>
  </si>
  <si>
    <t>Заточка относится только к маникюрному инструменту</t>
  </si>
  <si>
    <t xml:space="preserve">Маникюрные ножницы  12028M       </t>
  </si>
  <si>
    <t xml:space="preserve">Ногтевые ножницы  12027М       </t>
  </si>
  <si>
    <t xml:space="preserve">Ногтевые ножницы  12047M     </t>
  </si>
  <si>
    <t xml:space="preserve">Количество с заточкой        </t>
  </si>
  <si>
    <t xml:space="preserve">Количество без заточки </t>
  </si>
  <si>
    <t xml:space="preserve">переключение между нашими сайтами и  товарами находится ниже, там где листы </t>
  </si>
  <si>
    <r>
      <rPr>
        <b/>
        <sz val="10"/>
        <color indexed="53"/>
        <rFont val="Calibri"/>
        <family val="2"/>
      </rPr>
      <t>переключение между нашими сайтами и  товарами находится ниже, там где листы</t>
    </r>
    <r>
      <rPr>
        <b/>
        <sz val="10"/>
        <color indexed="8"/>
        <rFont val="Calibri"/>
        <family val="2"/>
      </rPr>
      <t xml:space="preserve"> </t>
    </r>
  </si>
  <si>
    <t>Итоговая сумма по наборам и инструменту</t>
  </si>
  <si>
    <t>Рекомендуем Италию не точить, но…</t>
  </si>
  <si>
    <t>не точится</t>
  </si>
  <si>
    <t>http://www.carapky.ru/content/tseny-na-tsarapki-i-nezagryazinki</t>
  </si>
  <si>
    <t>Царапки  белые</t>
  </si>
  <si>
    <t>Царапки  жёлтые</t>
  </si>
  <si>
    <t>Царапки  оранжевые</t>
  </si>
  <si>
    <t>Царапки голубые</t>
  </si>
  <si>
    <t>Наборы Butterfly PU</t>
  </si>
  <si>
    <t xml:space="preserve">Ножницы (Италия)  </t>
  </si>
  <si>
    <t>текущий курс у.е.</t>
  </si>
  <si>
    <t>в нашей компании</t>
  </si>
  <si>
    <t xml:space="preserve">Лазерная тёрка 1037 Hibrid </t>
  </si>
  <si>
    <t xml:space="preserve">Волновая пилка </t>
  </si>
  <si>
    <t xml:space="preserve">Пилка 3082 Portable </t>
  </si>
  <si>
    <t xml:space="preserve">Пилка 3085 Sun  </t>
  </si>
  <si>
    <t xml:space="preserve">Пилка 3086 Submarine  </t>
  </si>
  <si>
    <t xml:space="preserve">Пилка 3087 Supernova </t>
  </si>
  <si>
    <t xml:space="preserve">Marshal 45 mk  </t>
  </si>
  <si>
    <t xml:space="preserve">Cassius 45 pk </t>
  </si>
  <si>
    <t xml:space="preserve">Emerald 57 </t>
  </si>
  <si>
    <t>Brentis 56</t>
  </si>
  <si>
    <t xml:space="preserve">Evdocia 48 mn </t>
  </si>
  <si>
    <t xml:space="preserve">Colias 48 pn  </t>
  </si>
  <si>
    <t xml:space="preserve">Jack 710 mk  </t>
  </si>
  <si>
    <t xml:space="preserve">Menandr 710 pk </t>
  </si>
  <si>
    <t xml:space="preserve">Diana 712  </t>
  </si>
  <si>
    <t xml:space="preserve">PalmFly 810  </t>
  </si>
  <si>
    <t xml:space="preserve">Deitheria 812  </t>
  </si>
  <si>
    <t xml:space="preserve">Coronata 914 </t>
  </si>
  <si>
    <t xml:space="preserve">Tristan 35 </t>
  </si>
  <si>
    <t xml:space="preserve">Alekto 36 </t>
  </si>
  <si>
    <t xml:space="preserve">Danis 36 </t>
  </si>
  <si>
    <t xml:space="preserve">Pandora 49 </t>
  </si>
  <si>
    <t xml:space="preserve">Avrora 45 </t>
  </si>
  <si>
    <t xml:space="preserve">Junona 512 </t>
  </si>
  <si>
    <t xml:space="preserve">Camilla 612 </t>
  </si>
  <si>
    <t xml:space="preserve">Esmeralda 712 </t>
  </si>
  <si>
    <t>Bt-118 PU</t>
  </si>
  <si>
    <t>Bt-116 PU</t>
  </si>
  <si>
    <t>Bt-193 PU</t>
  </si>
  <si>
    <t>Мочалки и колпачки</t>
  </si>
  <si>
    <t>Тёрка Quadro Sun+ с вкладышем</t>
  </si>
  <si>
    <t>Расчёски              www.warbrushes.ru</t>
  </si>
  <si>
    <t>Расчёска Salon Black MAXI 2C</t>
  </si>
  <si>
    <t>Расчёска Salon Black MIDI 2C</t>
  </si>
  <si>
    <t>Расчёска Salon Black MINI 2C</t>
  </si>
  <si>
    <t>Расчёска ECO Bamboo Wood MAXI</t>
  </si>
  <si>
    <t>Расчёска ECO Bamboo Metal MAXI</t>
  </si>
  <si>
    <t>Расчёска ECO Bamboo Metal MINI</t>
  </si>
  <si>
    <t>Расчёска Salon Color Wood MIDI</t>
  </si>
  <si>
    <t>Расчёска Salon Brown Metal MAXI</t>
  </si>
  <si>
    <t>Расчёска Salon Amber Metal MAXI</t>
  </si>
  <si>
    <t>Расчёска Salon Amber Metal MINI</t>
  </si>
  <si>
    <t>Расчёска Salon Color Wood MAXI</t>
  </si>
  <si>
    <t>Инструмент Butterfly Ergonomic</t>
  </si>
  <si>
    <t>Инструмент Butterfly Elegant</t>
  </si>
  <si>
    <t>Пилинг для ног        FineFoot.ru</t>
  </si>
  <si>
    <t>Ногтевые ножницы  женские 12027 со стразой</t>
  </si>
  <si>
    <t>Ногтевые ножницы  мужские 12047 со стразой</t>
  </si>
  <si>
    <t>Пилка для ногтей 704</t>
  </si>
  <si>
    <t>Пилка для ногтей 705</t>
  </si>
  <si>
    <t>Ножницы 105 (для шитья и рукоделия, прямые)</t>
  </si>
  <si>
    <t>Ножницы 106 (для шитья и рукоделия, загнутые)</t>
  </si>
  <si>
    <t>Ножницы 113 (для тонких ногтей)</t>
  </si>
  <si>
    <t>Ножницы 118 LB (для кутикулы, длинное лезвие)</t>
  </si>
  <si>
    <t>Ножницы 131 (для кутикулы)</t>
  </si>
  <si>
    <t>Ножницы 131 W (для кутикулы, широкие ручки)</t>
  </si>
  <si>
    <t>Ножницы 150 (бытовые)</t>
  </si>
  <si>
    <t>Ножницы 151 (бытовые, облегчённые)</t>
  </si>
  <si>
    <t>Ножницы 152 (для усов и бороды)</t>
  </si>
  <si>
    <t>Ножницы 160 (ногтевые, для толстых ногтей)</t>
  </si>
  <si>
    <t>Ножницы 118 B (для кутикулы, чёрные)</t>
  </si>
  <si>
    <t>Кусачки 260 (спиральная  пружина. Длина 6/105мм)</t>
  </si>
  <si>
    <t>Кусачки 261 (спиральная  пружина. Длина 9/103 мм)</t>
  </si>
  <si>
    <t>Кусачки 262 ( двойная пружина. Длина 6/118 мм)</t>
  </si>
  <si>
    <t>Кусачки 263 (двойная пружина. Длина 12/112 мм)</t>
  </si>
  <si>
    <t>Кусачки 264 (двойная пружина. Длина 14/115 мм)</t>
  </si>
  <si>
    <t>Кусачки 272 (двойная пружина. Длина 6/100 мм)</t>
  </si>
  <si>
    <t>Кусачки 276 (спиральная пружина. Длина 12/125 мм)</t>
  </si>
  <si>
    <t>Кусачки 281 ( одн. пруж, чёрные, Длина 6/104 мм)</t>
  </si>
  <si>
    <t>Кусачки 282 ( одн. пруж, чёрные, Длина 6/103 мм)</t>
  </si>
  <si>
    <t>Кусачки 280 ( спир. пруж, чёрные, Длина 6/105 мм)</t>
  </si>
  <si>
    <t>Кусачки 283 ( дв. пруж, чёрные, Длина 6/100 мм)</t>
  </si>
  <si>
    <t>Кусачки 284 ( дв. пруж, чёрные, Длина 6/100 мм)</t>
  </si>
  <si>
    <t>Кусачки 285 ( спир. пруж, чёрные, Длина 12/115 мм)</t>
  </si>
  <si>
    <t xml:space="preserve">Разное        </t>
  </si>
  <si>
    <t>Кусачки 290 ( одн. пруж., Длина 17/102 мм)</t>
  </si>
  <si>
    <t>Кусачки 291 ( двойная  пружина,  Длина 17/102 мм)</t>
  </si>
  <si>
    <t>Кусачки 293  ( двойная  пружина,  Длина 20/120 мм)</t>
  </si>
  <si>
    <t>Кусачки 294  ( двойная  пружина,  Длина 18/132 мм)</t>
  </si>
  <si>
    <t>Кусачки 270 (мини, одн. пруж, Длина 6/90 мм)</t>
  </si>
  <si>
    <t xml:space="preserve"> </t>
  </si>
  <si>
    <t>Дорожные наборы   YLT/GLT</t>
  </si>
  <si>
    <t>Vanessa (118 DPR) жёлтый</t>
  </si>
  <si>
    <t>Licena (193 DPR) жёлтый</t>
  </si>
  <si>
    <t>Aglais (116 DPR) жёлтый</t>
  </si>
  <si>
    <t>Filodis (119 DPR) жёлтый</t>
  </si>
  <si>
    <t>Icarica (118 Italia) зелёный</t>
  </si>
  <si>
    <t>Morfo (113 italia) зелёный</t>
  </si>
  <si>
    <t>Zalmox (116 Italia) зелёный</t>
  </si>
  <si>
    <t>Кусачки 262 (9/105 мм, тройн. сустав)</t>
  </si>
  <si>
    <t>Кусачки 260 (7/105 мм, двойн. сустав)</t>
  </si>
  <si>
    <t>Кусачки 261 (6/103 мм двойн. сустав)</t>
  </si>
  <si>
    <t>Кусачки 263 (13/118 мм двойн. сустав)</t>
  </si>
  <si>
    <t>Кусачки 264 (9/105 мм, двойн. сустав)</t>
  </si>
  <si>
    <t>Кусачки 266 (8/118 мм, двойн. сустав)</t>
  </si>
  <si>
    <t>Кусачки 267 (7/106 мм, тройн. раунд)</t>
  </si>
  <si>
    <t>Кусачки 268 (5/106 мм, тройн. раунд)</t>
  </si>
  <si>
    <t>Кусачки 265 (6/118 мм тройн. сустав)</t>
  </si>
  <si>
    <t>Кусачки 269 (9/114 мм, рифлён. ручки)</t>
  </si>
  <si>
    <t>Ножницы 113 round (ногтевые женские)</t>
  </si>
  <si>
    <t>Кусачки Ell</t>
  </si>
  <si>
    <t>Кусачки 203 round - 3 mm</t>
  </si>
  <si>
    <t>Кусачки Double Polish</t>
  </si>
  <si>
    <t>Кусачки 205 round - 5 mm</t>
  </si>
  <si>
    <t>Кусачки 210 round -10 mm</t>
  </si>
  <si>
    <t>Кусачки 252 round - 16 mm</t>
  </si>
  <si>
    <t>Кусачки 237 - 16 mm</t>
  </si>
  <si>
    <t xml:space="preserve">Пушер 405 </t>
  </si>
  <si>
    <t xml:space="preserve">Пушер 408 </t>
  </si>
  <si>
    <t>Тёрка Guliver Sun+ с вкладышем</t>
  </si>
  <si>
    <t>Тёрка Sun+ с вкладышем</t>
  </si>
  <si>
    <t xml:space="preserve">Электротёрка для пяток Mowe  РОЗОВАЯ   </t>
  </si>
  <si>
    <t>Ножницы 110 (безопасные)</t>
  </si>
  <si>
    <t>Наборы Butterfly DPR  Italia</t>
  </si>
  <si>
    <t>Кусачки 274 (спиральная пружина. Длина 6/105 мм)</t>
  </si>
  <si>
    <t>Ножницы 118 round (кутикульные)</t>
  </si>
  <si>
    <t>Ножницы 131 round (удлинённые)</t>
  </si>
  <si>
    <t xml:space="preserve">Срезающая липсовая тёрка </t>
  </si>
  <si>
    <t>Ножницы 111 (листовая пружина)</t>
  </si>
  <si>
    <t xml:space="preserve">Универсальные ножницы  12048М      </t>
  </si>
  <si>
    <t>Безопасные ножницы 12097 М</t>
  </si>
  <si>
    <t xml:space="preserve">Пилка для ногтей и кутикулы Zero </t>
  </si>
  <si>
    <t xml:space="preserve">Пилка-полировка для ногтей Elegant </t>
  </si>
  <si>
    <t xml:space="preserve">7-сторонняя пилка-полировка Raduga </t>
  </si>
  <si>
    <t xml:space="preserve">4-сторонняя пилка-полировка для ногтей Propeller </t>
  </si>
  <si>
    <t xml:space="preserve">Система трёх полировок ABC PRO 3 </t>
  </si>
  <si>
    <t xml:space="preserve">Алмазная пилка Medium 15 </t>
  </si>
  <si>
    <t xml:space="preserve">Алмазная пилка Long 20 </t>
  </si>
  <si>
    <t xml:space="preserve">Тёрка двухсторонняя деревянная WOODBUK     60/120    </t>
  </si>
  <si>
    <t xml:space="preserve">Тёрка двухсторонняя деревянная WOODBUK     100/150  </t>
  </si>
  <si>
    <t xml:space="preserve">Тёрка двухсторонняя деревянная WOODBUK     120/180   </t>
  </si>
  <si>
    <t xml:space="preserve">Тёрка двухсторонняя лакированная WOODLACK   60/120  </t>
  </si>
  <si>
    <t xml:space="preserve">Тёрка двухсторонняя лакированная WOODLACK   100/150  </t>
  </si>
  <si>
    <t xml:space="preserve">Тёрка двухсторонняя лакированная WOODLACK   120/180  </t>
  </si>
  <si>
    <t xml:space="preserve">Пушпи Arrow №1  (стрела) </t>
  </si>
  <si>
    <t>Пушпи Drop №2  (капля)</t>
  </si>
  <si>
    <t>Пушпи Ax №3  (топорик)</t>
  </si>
  <si>
    <t xml:space="preserve">Пушпи Quadro  Claw  №4 (коготь) </t>
  </si>
  <si>
    <t xml:space="preserve">Пушпи Quadro  Icicle  №5 (сосулька) </t>
  </si>
  <si>
    <t xml:space="preserve">Пушпи Quadro  Hook  №6  (крюк) </t>
  </si>
  <si>
    <t xml:space="preserve">Пилки и полировки для ногтей </t>
  </si>
  <si>
    <r>
      <t xml:space="preserve">Тёрки для ног  </t>
    </r>
    <r>
      <rPr>
        <b/>
        <sz val="9"/>
        <color indexed="8"/>
        <rFont val="Calibri"/>
        <family val="2"/>
      </rPr>
      <t xml:space="preserve">               www.terochki.ru</t>
    </r>
  </si>
  <si>
    <t xml:space="preserve">Ножницы Mowe Solingen, серия LC </t>
  </si>
  <si>
    <t>Ножницы 107 (для ногтей с изогнутыми ручками)</t>
  </si>
  <si>
    <t xml:space="preserve">Ножницы 118 ( для кутикулы) </t>
  </si>
  <si>
    <t xml:space="preserve">Ножницы 123 (с упором для тонких ногтей ) </t>
  </si>
  <si>
    <t xml:space="preserve">Ножницы 126 (с упором для толстых ногтей) </t>
  </si>
  <si>
    <t xml:space="preserve">Ножницы 128 (с упором для кутикулы) </t>
  </si>
  <si>
    <t xml:space="preserve">Маникюрные кусачки Mowe Solingen, cерия LC </t>
  </si>
  <si>
    <t xml:space="preserve">Кусачки 266 (Round двойная пружина. Длина 6/104 мм) </t>
  </si>
  <si>
    <t xml:space="preserve">Кусачки 267 (Round, спиральная пруж. Длина 6/104 мм) </t>
  </si>
  <si>
    <t xml:space="preserve">Кусачки 268 (роликовая пружина. Длина 8/105 мм) </t>
  </si>
  <si>
    <t xml:space="preserve">Педикюрные кусачки Mowe Solingen, серия LC </t>
  </si>
  <si>
    <t xml:space="preserve">Кусачки 298 (двойная пружина, Длина 18/117 мм) </t>
  </si>
  <si>
    <t xml:space="preserve">Пинцет 322 (прямой, с двумя захватами) </t>
  </si>
  <si>
    <t xml:space="preserve">Пинцет 323 (косой с длинным захватом) </t>
  </si>
  <si>
    <t xml:space="preserve">Пинцет 324 (косой, с широкими полосками) </t>
  </si>
  <si>
    <t>Пинцет 326 ( косой, широкий)</t>
  </si>
  <si>
    <t xml:space="preserve">Книпсер изогнутый большой 500 </t>
  </si>
  <si>
    <t xml:space="preserve">Книпсер изогнутый маленькие 501 </t>
  </si>
  <si>
    <t xml:space="preserve">Книпсер маленький трансформер 503 </t>
  </si>
  <si>
    <t xml:space="preserve">Книпсер маленький DP 502 </t>
  </si>
  <si>
    <t xml:space="preserve">Пинцет 325 ( косой, в  виде волны) </t>
  </si>
  <si>
    <t xml:space="preserve">Пинцет 327 (игла, захват 7 мм) </t>
  </si>
  <si>
    <t xml:space="preserve">Пушера и Пушпи (пилка+пушер) </t>
  </si>
  <si>
    <t xml:space="preserve">Лазерная тёрка 1023 чёрная </t>
  </si>
  <si>
    <t xml:space="preserve">Лазерная тёрка 1031 Slim </t>
  </si>
  <si>
    <t xml:space="preserve">Лазерная тёрка 1025 Mini </t>
  </si>
  <si>
    <t>Пилка 3090 Terma</t>
  </si>
  <si>
    <t>Пилка Terma 2 reborn</t>
  </si>
  <si>
    <r>
      <t>Мультитриммер для кутикулы</t>
    </r>
  </si>
  <si>
    <t>Чудо мочалка - рукавичка</t>
  </si>
  <si>
    <t>Чудо мочалка - спонжик</t>
  </si>
  <si>
    <t>Колпачок для ножниц</t>
  </si>
  <si>
    <t xml:space="preserve">Колпачок для кус. маникюрн. </t>
  </si>
  <si>
    <t xml:space="preserve">Колпачок для кус. педикюрн. </t>
  </si>
  <si>
    <t xml:space="preserve">Колпачок для пинц. и пушер. 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</si>
  <si>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    Доставка до вашего города за наш счёт.  Заказ присылать на: terochki@gmail.com  Наличие товара по факту на складе смотреть тут: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</si>
  <si>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t>Пилинг носочки</t>
  </si>
  <si>
    <t>Быстроманикюр для рук</t>
  </si>
  <si>
    <t>Кусачки Bt-207 (7 mm) ergonomic</t>
  </si>
  <si>
    <r>
      <t>Ножницы Bt-113 ergonomic</t>
    </r>
  </si>
  <si>
    <r>
      <t>Ножницы Bt-193 ergonomic</t>
    </r>
  </si>
  <si>
    <r>
      <t>Кусачки Bt-204 (4 mm) ergonomic</t>
    </r>
  </si>
  <si>
    <r>
      <t>Кусачки Bt-217 ergonomic</t>
    </r>
  </si>
  <si>
    <r>
      <t>Кусачки Bt -204 elegant</t>
    </r>
  </si>
  <si>
    <r>
      <t>Кусачки Bt -211 elegant</t>
    </r>
  </si>
  <si>
    <r>
      <t xml:space="preserve">Кусачки Butterfly </t>
    </r>
    <r>
      <rPr>
        <b/>
        <sz val="9"/>
        <rFont val="Calibri"/>
        <family val="2"/>
      </rPr>
      <t>Low Cost</t>
    </r>
  </si>
  <si>
    <t>Ножницы полиуретановые PU</t>
  </si>
  <si>
    <r>
      <t>Цены действительны до конца месяца</t>
    </r>
    <r>
      <rPr>
        <b/>
        <sz val="9"/>
        <rFont val="Calibri"/>
        <family val="2"/>
      </rPr>
      <t xml:space="preserve">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</si>
  <si>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Цены действительны до конца месяца.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                                                                                                                                         </t>
    </r>
    <r>
      <rPr>
        <b/>
        <sz val="9"/>
        <color indexed="10"/>
        <rFont val="Calibri"/>
        <family val="2"/>
      </rPr>
      <t>Нажав на название товара - перейдёте на его описание на сайте и увидите его фото.</t>
    </r>
  </si>
  <si>
    <r>
      <t xml:space="preserve">Тёрка Liquid Nickel </t>
    </r>
    <r>
      <rPr>
        <u val="single"/>
        <sz val="8"/>
        <color indexed="10"/>
        <rFont val="Calibri"/>
        <family val="2"/>
      </rPr>
      <t>new</t>
    </r>
  </si>
  <si>
    <t>Клей и пинцеты для наращивания</t>
  </si>
  <si>
    <t>Клей чёрный 1 гр.</t>
  </si>
  <si>
    <t>Клей прозрачный 1 гр.</t>
  </si>
  <si>
    <t>Пинцет игла  для ресниц 337</t>
  </si>
  <si>
    <t>Пинцет Г-образный 338</t>
  </si>
  <si>
    <t>Пушер 409</t>
  </si>
  <si>
    <t xml:space="preserve">Пушер 411 </t>
  </si>
  <si>
    <t>Петля 419</t>
  </si>
  <si>
    <r>
      <t xml:space="preserve">Пушер 403 </t>
    </r>
    <r>
      <rPr>
        <u val="single"/>
        <sz val="8"/>
        <color indexed="10"/>
        <rFont val="Calibri"/>
        <family val="2"/>
      </rPr>
      <t>new</t>
    </r>
  </si>
  <si>
    <t>Пинцеты Butterfly  LDE</t>
  </si>
  <si>
    <r>
      <t xml:space="preserve">Пинцет 380 LDE </t>
    </r>
    <r>
      <rPr>
        <u val="single"/>
        <sz val="8"/>
        <color indexed="10"/>
        <rFont val="Calibri"/>
        <family val="2"/>
      </rPr>
      <t>new</t>
    </r>
  </si>
  <si>
    <r>
      <t xml:space="preserve">Пинцет 381 LDE </t>
    </r>
    <r>
      <rPr>
        <u val="single"/>
        <sz val="8"/>
        <color indexed="10"/>
        <rFont val="Calibri"/>
        <family val="2"/>
      </rPr>
      <t>new</t>
    </r>
  </si>
  <si>
    <r>
      <t xml:space="preserve">Пинцет 382 LDE </t>
    </r>
    <r>
      <rPr>
        <u val="single"/>
        <sz val="8"/>
        <color indexed="10"/>
        <rFont val="Calibri"/>
        <family val="2"/>
      </rPr>
      <t>new</t>
    </r>
  </si>
  <si>
    <r>
      <t xml:space="preserve">Пинцет 383 LDE </t>
    </r>
    <r>
      <rPr>
        <u val="single"/>
        <sz val="8"/>
        <color indexed="10"/>
        <rFont val="Calibri"/>
        <family val="2"/>
      </rPr>
      <t>new</t>
    </r>
  </si>
  <si>
    <r>
      <t xml:space="preserve">Пинцет 384 мягкий </t>
    </r>
    <r>
      <rPr>
        <u val="single"/>
        <sz val="8"/>
        <color indexed="10"/>
        <rFont val="Calibri"/>
        <family val="2"/>
      </rPr>
      <t>new</t>
    </r>
  </si>
  <si>
    <r>
      <t xml:space="preserve">Пинцет 385 чёрный </t>
    </r>
    <r>
      <rPr>
        <u val="single"/>
        <sz val="8"/>
        <color indexed="10"/>
        <rFont val="Calibri"/>
        <family val="2"/>
      </rPr>
      <t>new</t>
    </r>
  </si>
  <si>
    <r>
      <t xml:space="preserve">Пушер 421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</si>
  <si>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425 Long@Sharp </t>
    </r>
    <r>
      <rPr>
        <u val="single"/>
        <sz val="8"/>
        <color indexed="10"/>
        <rFont val="Calibri"/>
        <family val="2"/>
      </rPr>
      <t>new</t>
    </r>
  </si>
  <si>
    <r>
      <t xml:space="preserve">Пушер 428 Long@Sharp </t>
    </r>
    <r>
      <rPr>
        <u val="single"/>
        <sz val="8"/>
        <color indexed="10"/>
        <rFont val="Calibri"/>
        <family val="2"/>
      </rPr>
      <t>new</t>
    </r>
  </si>
  <si>
    <t>Пушера и петли Butterfly</t>
  </si>
  <si>
    <t>завод. заточка</t>
  </si>
  <si>
    <t>только с заточ.</t>
  </si>
  <si>
    <r>
      <t xml:space="preserve">Ножницы 185 round (ногтевые) </t>
    </r>
    <r>
      <rPr>
        <u val="single"/>
        <sz val="8"/>
        <color indexed="10"/>
        <rFont val="Calibri"/>
        <family val="2"/>
      </rPr>
      <t>new</t>
    </r>
  </si>
  <si>
    <r>
      <t xml:space="preserve">Ножницы 180 round (маникюрные) </t>
    </r>
    <r>
      <rPr>
        <u val="single"/>
        <sz val="8"/>
        <color indexed="10"/>
        <rFont val="Calibri"/>
        <family val="2"/>
      </rPr>
      <t>new</t>
    </r>
  </si>
  <si>
    <t>Ножницы Butterfly DPR</t>
  </si>
  <si>
    <t>с заточкой</t>
  </si>
  <si>
    <t>без заточки</t>
  </si>
  <si>
    <t>Ножницы 119 round (ногтевые толстые)</t>
  </si>
  <si>
    <t>Кусачки 277 (двойная пружина. Длина 6/115 мм)</t>
  </si>
  <si>
    <t>Пилка для ногтей 703</t>
  </si>
  <si>
    <r>
      <t xml:space="preserve">Парафиновые носочки  </t>
    </r>
    <r>
      <rPr>
        <u val="single"/>
        <sz val="8"/>
        <color indexed="10"/>
        <rFont val="Calibri"/>
        <family val="2"/>
      </rPr>
      <t>(уценены на 20%)</t>
    </r>
  </si>
  <si>
    <r>
      <t xml:space="preserve">Парафиновые перчатки </t>
    </r>
    <r>
      <rPr>
        <u val="single"/>
        <sz val="8"/>
        <color indexed="10"/>
        <rFont val="Calibri"/>
        <family val="2"/>
      </rPr>
      <t>(уценены  на 20 %)</t>
    </r>
  </si>
  <si>
    <t>Ножницы 131 LB (для кутикулы, удлинённые)</t>
  </si>
  <si>
    <t>Ножницы 116 B ( для толстых ногтей, чёрные)</t>
  </si>
  <si>
    <t>Ножницы 153 (бытовые, подростковые)</t>
  </si>
  <si>
    <t>Ножницы 154 (для шитья и рукоделия)</t>
  </si>
  <si>
    <t>Кусачки 258 (двойная  пружина. Длина 12/110 мм)</t>
  </si>
  <si>
    <t>Кусачки 259 (двойная  пружина. Длина 5/100 мм)</t>
  </si>
  <si>
    <t>Расчёска RedWood Metal MAXI</t>
  </si>
  <si>
    <t>Расчёска RedWood Seta MIDI</t>
  </si>
  <si>
    <t>Расчёска RedWood Black MIDI</t>
  </si>
  <si>
    <t>Расчёска RedWood Plastic MIDI</t>
  </si>
  <si>
    <t>Расчёска RedWood Massagel MIDI</t>
  </si>
  <si>
    <t>Ножницы 111 (листовая пружина ) new</t>
  </si>
  <si>
    <t>Ножницы 116 (для толстых ногтей) new</t>
  </si>
  <si>
    <r>
      <t xml:space="preserve">Лазерная тёрка 1033 MayFair </t>
    </r>
    <r>
      <rPr>
        <u val="single"/>
        <sz val="8"/>
        <color indexed="10"/>
        <rFont val="Calibri"/>
        <family val="2"/>
      </rPr>
      <t>new</t>
    </r>
  </si>
  <si>
    <r>
      <t xml:space="preserve">Минилипсовая срезающая тёрка </t>
    </r>
    <r>
      <rPr>
        <u val="single"/>
        <sz val="8"/>
        <color indexed="10"/>
        <rFont val="Calibri"/>
        <family val="2"/>
      </rPr>
      <t>new</t>
    </r>
  </si>
  <si>
    <r>
      <t xml:space="preserve">Тёрка влагостойкая </t>
    </r>
    <r>
      <rPr>
        <u val="single"/>
        <sz val="8"/>
        <color indexed="36"/>
        <rFont val="Calibri"/>
        <family val="2"/>
      </rPr>
      <t>фиолетовая</t>
    </r>
    <r>
      <rPr>
        <u val="single"/>
        <sz val="8"/>
        <rFont val="Calibri"/>
        <family val="2"/>
      </rPr>
      <t xml:space="preserve"> WaterProof  60/80/120 </t>
    </r>
  </si>
  <si>
    <r>
      <t xml:space="preserve">Тёрка влагостойкая </t>
    </r>
    <r>
      <rPr>
        <u val="single"/>
        <sz val="8"/>
        <color indexed="62"/>
        <rFont val="Calibri"/>
        <family val="2"/>
      </rPr>
      <t>синяя</t>
    </r>
    <r>
      <rPr>
        <u val="single"/>
        <sz val="8"/>
        <rFont val="Calibri"/>
        <family val="2"/>
      </rPr>
      <t xml:space="preserve"> WaterProof  80/100/150 </t>
    </r>
  </si>
  <si>
    <r>
      <t xml:space="preserve">Тёрка влагостойкая </t>
    </r>
    <r>
      <rPr>
        <u val="single"/>
        <sz val="8"/>
        <color indexed="40"/>
        <rFont val="Calibri"/>
        <family val="2"/>
      </rPr>
      <t>бирюзовая</t>
    </r>
    <r>
      <rPr>
        <u val="single"/>
        <sz val="8"/>
        <rFont val="Calibri"/>
        <family val="2"/>
      </rPr>
      <t xml:space="preserve"> WaterProof  80/120/180</t>
    </r>
  </si>
  <si>
    <t>Тёрка Drop 832 фиолетовая</t>
  </si>
  <si>
    <t>Тёрка Drop 832 голубая</t>
  </si>
  <si>
    <t>Тёрка Drop 832 розовая</t>
  </si>
  <si>
    <t>Тёрка Lock 833 лазерная китайская</t>
  </si>
  <si>
    <t>Срезающая тёрка ErGo</t>
  </si>
  <si>
    <t>Пилка Zero Mint</t>
  </si>
  <si>
    <t>Пилка Zero Pink</t>
  </si>
  <si>
    <t>7-сторонняя пилка-полировка Raduga Mini</t>
  </si>
  <si>
    <t>Абразивная пилка для ногтей 710</t>
  </si>
  <si>
    <t>Стеклянная пилка для ногтей с голубом чехле 712</t>
  </si>
  <si>
    <t>Подрезка для кутикулы с мягким пушером 711</t>
  </si>
  <si>
    <t>Пушер 420 (топорик-лопатка)</t>
  </si>
  <si>
    <t>Пушер 421 (секач- короткая лопатка)</t>
  </si>
  <si>
    <t>Пушер 422 (клинок-лопатка)</t>
  </si>
  <si>
    <t>Пушер 423 (копьё-лопатка)</t>
  </si>
  <si>
    <t>Пушер 424 (миниклинок- копьё)</t>
  </si>
  <si>
    <t>Кусачки 245 Parus (двухсторонние, Длина 23/140 мм)</t>
  </si>
  <si>
    <t>Кусачки 292 (спиральная пружина, Длина 17/102 мм)</t>
  </si>
  <si>
    <t>Пинцет 330 (косой, сырный антислик)</t>
  </si>
  <si>
    <t>Пинцет 331 ( костой 45, сырный антислик, эргономик)</t>
  </si>
  <si>
    <t>Пинцет 332 ( косой, 10 см, средней жёсткий)</t>
  </si>
  <si>
    <t>Пинцет 333 (косой, 9 см, жёсткий)</t>
  </si>
  <si>
    <t>Пинцет 334 ( косой 45, эргономик)</t>
  </si>
  <si>
    <t>Пинцет 335 ( игла, захват широкий 10 мм)</t>
  </si>
  <si>
    <t>Пинцет 336 (косой, узкий, глубокий антислик)</t>
  </si>
  <si>
    <t>Пинцет 337 (игла для наращивания ресниц 13 см)</t>
  </si>
  <si>
    <t>Пинцет 338 (Г-образный для наращивания ресниц, 13 см)</t>
  </si>
  <si>
    <t>Пинцет 339 (минипинцет,  63 мм)</t>
  </si>
  <si>
    <t>Пинцет 340 ( для удаления угрей и прыщиков,  16 см)</t>
  </si>
  <si>
    <r>
      <t xml:space="preserve">Хелпер для ресниц </t>
    </r>
    <r>
      <rPr>
        <u val="single"/>
        <sz val="8"/>
        <color indexed="30"/>
        <rFont val="Calibri"/>
        <family val="2"/>
      </rPr>
      <t>синий</t>
    </r>
  </si>
  <si>
    <r>
      <t xml:space="preserve">Хелпер для ресниц </t>
    </r>
    <r>
      <rPr>
        <u val="single"/>
        <sz val="8"/>
        <color indexed="29"/>
        <rFont val="Calibri"/>
        <family val="2"/>
      </rPr>
      <t>розовый</t>
    </r>
  </si>
  <si>
    <t>Книпсер большой DP 505</t>
  </si>
  <si>
    <r>
      <t xml:space="preserve">Пинцет 311 c резиновым антисликом </t>
    </r>
    <r>
      <rPr>
        <u val="single"/>
        <sz val="8"/>
        <color indexed="36"/>
        <rFont val="Calibri"/>
        <family val="2"/>
      </rPr>
      <t>фиолетовый</t>
    </r>
    <r>
      <rPr>
        <u val="single"/>
        <sz val="8"/>
        <rFont val="Calibri"/>
        <family val="2"/>
      </rPr>
      <t xml:space="preserve"> </t>
    </r>
    <r>
      <rPr>
        <u val="single"/>
        <sz val="8"/>
        <color indexed="10"/>
        <rFont val="Calibri"/>
        <family val="2"/>
      </rPr>
      <t>new</t>
    </r>
  </si>
  <si>
    <r>
      <t xml:space="preserve">Пинцет 312 c большим чёрным силиконовым упором </t>
    </r>
    <r>
      <rPr>
        <u val="single"/>
        <sz val="8"/>
        <color indexed="10"/>
        <rFont val="Calibri"/>
        <family val="2"/>
      </rPr>
      <t>new</t>
    </r>
  </si>
  <si>
    <r>
      <t xml:space="preserve">Клинер ChiChi фиолетовый </t>
    </r>
    <r>
      <rPr>
        <u val="single"/>
        <sz val="8"/>
        <color indexed="10"/>
        <rFont val="Calibri"/>
        <family val="2"/>
      </rPr>
      <t>new</t>
    </r>
  </si>
  <si>
    <t>Пинцеты и средства ухода за лицом + книпсера</t>
  </si>
  <si>
    <r>
      <t xml:space="preserve">Тёрка для ног 1031 </t>
    </r>
    <r>
      <rPr>
        <u val="single"/>
        <sz val="8"/>
        <color indexed="36"/>
        <rFont val="Calibri"/>
        <family val="2"/>
      </rPr>
      <t xml:space="preserve">Violet </t>
    </r>
    <r>
      <rPr>
        <u val="single"/>
        <sz val="8"/>
        <color indexed="10"/>
        <rFont val="Calibri"/>
        <family val="2"/>
      </rPr>
      <t>new</t>
    </r>
  </si>
  <si>
    <r>
      <t xml:space="preserve">Тёрка для ног Excavator </t>
    </r>
    <r>
      <rPr>
        <u val="single"/>
        <sz val="8"/>
        <color indexed="10"/>
        <rFont val="Calibri"/>
        <family val="2"/>
      </rPr>
      <t>new</t>
    </r>
  </si>
  <si>
    <t>Косметические зеркала              www.2Resnichki.ru</t>
  </si>
  <si>
    <t>кол. Упак.</t>
  </si>
  <si>
    <t>кол. Блоков</t>
  </si>
  <si>
    <t>сумма</t>
  </si>
  <si>
    <t>Количество    штук</t>
  </si>
  <si>
    <t xml:space="preserve">Цельные реснички                </t>
  </si>
  <si>
    <t>Цена за блок (10 шт.)</t>
  </si>
  <si>
    <t>Количество блоков</t>
  </si>
  <si>
    <r>
      <t xml:space="preserve">Зеркальце Земляника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</si>
  <si>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Брусника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</si>
  <si>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Улитка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</si>
  <si>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Дудочка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</si>
  <si>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Качели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</si>
  <si>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Подсолнухи </t>
    </r>
    <r>
      <rPr>
        <u val="single"/>
        <sz val="8"/>
        <color indexed="10"/>
        <rFont val="Calibri"/>
        <family val="2"/>
      </rPr>
      <t>new</t>
    </r>
  </si>
  <si>
    <r>
      <t xml:space="preserve">Зеркальце Сирень </t>
    </r>
    <r>
      <rPr>
        <u val="single"/>
        <sz val="8"/>
        <color indexed="10"/>
        <rFont val="Calibri"/>
        <family val="2"/>
      </rPr>
      <t>new</t>
    </r>
  </si>
  <si>
    <t>Ножницы 114 (лезвие меч для тонких ногтей)</t>
  </si>
  <si>
    <t xml:space="preserve">Кусачки 265 (спиральная пружина. Длина 11/125 мм) </t>
  </si>
  <si>
    <r>
      <t xml:space="preserve">4-сторонняя пилка-полировка для ногтей Boomerang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</si>
  <si>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Bt-208 (8 mm) ergonomic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</si>
  <si>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Bt-218 (18 mm) ergonomic </t>
    </r>
    <r>
      <rPr>
        <u val="single"/>
        <sz val="8"/>
        <color indexed="10"/>
        <rFont val="Calibri"/>
        <family val="2"/>
      </rPr>
      <t>new</t>
    </r>
  </si>
  <si>
    <r>
      <t xml:space="preserve">Кусачки Bt-220 (20 mm) ergonomic </t>
    </r>
    <r>
      <rPr>
        <u val="single"/>
        <sz val="8"/>
        <color indexed="10"/>
        <rFont val="Calibri"/>
        <family val="2"/>
      </rPr>
      <t>new</t>
    </r>
  </si>
  <si>
    <r>
      <t xml:space="preserve">Ножницы 117 round (ногт./быт.) с з.у. </t>
    </r>
    <r>
      <rPr>
        <u val="single"/>
        <sz val="8"/>
        <color indexed="10"/>
        <rFont val="Calibri"/>
        <family val="2"/>
      </rPr>
      <t>new</t>
    </r>
  </si>
  <si>
    <r>
      <t xml:space="preserve">Пилка Zero Black </t>
    </r>
    <r>
      <rPr>
        <u val="single"/>
        <sz val="8"/>
        <color indexed="10"/>
        <rFont val="Calibri"/>
        <family val="2"/>
      </rPr>
      <t>new (будет после 01.01.2019)</t>
    </r>
  </si>
  <si>
    <r>
      <t xml:space="preserve">Лазерная тёрка 1031 Sun чёрная </t>
    </r>
    <r>
      <rPr>
        <u val="single"/>
        <sz val="8"/>
        <color indexed="10"/>
        <rFont val="Calibri"/>
        <family val="2"/>
      </rPr>
      <t>low cost</t>
    </r>
  </si>
  <si>
    <t>Кусачки 254 round - 12 mm (для вросшего)</t>
  </si>
  <si>
    <t>Кусачки 207 round - 7 mm</t>
  </si>
  <si>
    <t>на декабрь 2018</t>
  </si>
  <si>
    <t>на декабрь  2018</t>
  </si>
  <si>
    <r>
      <t xml:space="preserve">Ножницы 114 round (ногт.) с з.у. </t>
    </r>
    <r>
      <rPr>
        <u val="single"/>
        <sz val="8"/>
        <color indexed="10"/>
        <rFont val="Calibri"/>
        <family val="2"/>
      </rPr>
      <t>new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</si>
</sst>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63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u val="single"/>
      <sz val="8"/>
      <name val="Calibri"/>
      <family val="2"/>
    </font>
    <font>
      <b/>
      <sz val="9"/>
      <color indexed="10"/>
      <name val="Calibri"/>
      <family val="2"/>
    </font>
    <font>
      <u val="single"/>
      <sz val="8"/>
      <color indexed="10"/>
      <name val="Calibri"/>
      <family val="2"/>
    </font>
    <font>
      <u val="single"/>
      <sz val="8"/>
      <color indexed="29"/>
      <name val="Calibri"/>
      <family val="2"/>
    </font>
    <font>
      <u val="single"/>
      <sz val="8"/>
      <color indexed="40"/>
      <name val="Calibri"/>
      <family val="2"/>
    </font>
    <font>
      <u val="single"/>
      <sz val="8"/>
      <color indexed="36"/>
      <name val="Calibri"/>
      <family val="2"/>
    </font>
    <font>
      <u val="single"/>
      <sz val="8"/>
      <color indexed="62"/>
      <name val="Calibri"/>
      <family val="2"/>
    </font>
    <font>
      <u val="single"/>
      <sz val="8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3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9"/>
      <color indexed="23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3F3F3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sz val="8"/>
      <color rgb="FF3F3F3F"/>
      <name val="Calibri"/>
      <family val="2"/>
    </font>
    <font>
      <b/>
      <sz val="9"/>
      <color theme="0" tint="-0.4999699890613556"/>
      <name val="Calibri"/>
      <family val="2"/>
    </font>
    <font>
      <b/>
      <sz val="9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8" fillId="27" borderId="2">
      <alignment horizontal="left"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11" borderId="10" applyAlignment="0"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27" borderId="2" xfId="40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60" fillId="7" borderId="1" xfId="20" applyFont="1" applyBorder="1" applyAlignment="1">
      <alignment/>
    </xf>
    <xf numFmtId="0" fontId="60" fillId="7" borderId="11" xfId="20" applyFont="1" applyBorder="1" applyAlignment="1">
      <alignment horizontal="left"/>
    </xf>
    <xf numFmtId="0" fontId="60" fillId="7" borderId="8" xfId="20" applyFont="1" applyBorder="1" applyAlignment="1">
      <alignment/>
    </xf>
    <xf numFmtId="0" fontId="60" fillId="7" borderId="12" xfId="20" applyFont="1" applyBorder="1" applyAlignment="1">
      <alignment horizontal="left"/>
    </xf>
    <xf numFmtId="0" fontId="60" fillId="7" borderId="0" xfId="20" applyFont="1" applyAlignment="1">
      <alignment horizontal="left"/>
    </xf>
    <xf numFmtId="0" fontId="60" fillId="7" borderId="2" xfId="20" applyFont="1" applyBorder="1" applyAlignment="1">
      <alignment horizontal="center" vertical="center" wrapText="1"/>
    </xf>
    <xf numFmtId="0" fontId="60" fillId="7" borderId="0" xfId="20" applyFont="1" applyAlignment="1">
      <alignment horizontal="left"/>
    </xf>
    <xf numFmtId="0" fontId="60" fillId="7" borderId="13" xfId="20" applyFont="1" applyBorder="1" applyAlignment="1">
      <alignment horizontal="center" vertical="center" wrapText="1"/>
    </xf>
    <xf numFmtId="0" fontId="64" fillId="7" borderId="1" xfId="20" applyFont="1" applyBorder="1" applyAlignment="1">
      <alignment/>
    </xf>
    <xf numFmtId="0" fontId="67" fillId="13" borderId="0" xfId="26" applyFont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 wrapText="1"/>
    </xf>
    <xf numFmtId="0" fontId="64" fillId="7" borderId="2" xfId="20" applyFont="1" applyBorder="1" applyAlignment="1">
      <alignment/>
    </xf>
    <xf numFmtId="0" fontId="60" fillId="7" borderId="2" xfId="20" applyFont="1" applyBorder="1" applyAlignment="1">
      <alignment horizontal="center" vertical="top" wrapText="1"/>
    </xf>
    <xf numFmtId="0" fontId="60" fillId="7" borderId="2" xfId="20" applyFont="1" applyBorder="1" applyAlignment="1">
      <alignment/>
    </xf>
    <xf numFmtId="0" fontId="60" fillId="7" borderId="14" xfId="20" applyFont="1" applyBorder="1" applyAlignment="1">
      <alignment/>
    </xf>
    <xf numFmtId="0" fontId="60" fillId="7" borderId="15" xfId="20" applyFont="1" applyBorder="1" applyAlignment="1">
      <alignment horizontal="center"/>
    </xf>
    <xf numFmtId="0" fontId="60" fillId="7" borderId="0" xfId="20" applyFont="1" applyAlignment="1">
      <alignment/>
    </xf>
    <xf numFmtId="0" fontId="60" fillId="7" borderId="16" xfId="20" applyFont="1" applyBorder="1" applyAlignment="1">
      <alignment horizontal="left"/>
    </xf>
    <xf numFmtId="0" fontId="48" fillId="0" borderId="0" xfId="42" applyAlignment="1" applyProtection="1">
      <alignment/>
      <protection/>
    </xf>
    <xf numFmtId="0" fontId="68" fillId="7" borderId="2" xfId="20" applyFont="1" applyBorder="1" applyAlignment="1">
      <alignment/>
    </xf>
    <xf numFmtId="0" fontId="39" fillId="19" borderId="0" xfId="32" applyFont="1" applyAlignment="1">
      <alignment horizontal="right"/>
    </xf>
    <xf numFmtId="0" fontId="40" fillId="13" borderId="0" xfId="26" applyFont="1" applyAlignment="1">
      <alignment/>
    </xf>
    <xf numFmtId="0" fontId="65" fillId="27" borderId="16" xfId="40" applyFont="1" applyBorder="1" applyAlignment="1">
      <alignment horizontal="center" vertical="center"/>
    </xf>
    <xf numFmtId="0" fontId="65" fillId="27" borderId="2" xfId="40" applyFont="1" applyAlignment="1">
      <alignment horizontal="center" vertical="center"/>
    </xf>
    <xf numFmtId="0" fontId="60" fillId="13" borderId="0" xfId="26" applyFont="1" applyAlignment="1">
      <alignment horizontal="center" vertical="center"/>
    </xf>
    <xf numFmtId="0" fontId="64" fillId="7" borderId="2" xfId="20" applyFont="1" applyBorder="1" applyAlignment="1">
      <alignment horizontal="center" vertical="center"/>
    </xf>
    <xf numFmtId="0" fontId="64" fillId="7" borderId="16" xfId="20" applyFont="1" applyBorder="1" applyAlignment="1">
      <alignment horizontal="left"/>
    </xf>
    <xf numFmtId="0" fontId="64" fillId="7" borderId="17" xfId="20" applyFont="1" applyBorder="1" applyAlignment="1">
      <alignment horizontal="center"/>
    </xf>
    <xf numFmtId="0" fontId="64" fillId="7" borderId="1" xfId="20" applyFont="1" applyBorder="1" applyAlignment="1">
      <alignment horizontal="center" vertical="center"/>
    </xf>
    <xf numFmtId="0" fontId="64" fillId="7" borderId="15" xfId="20" applyFont="1" applyBorder="1" applyAlignment="1">
      <alignment horizontal="left"/>
    </xf>
    <xf numFmtId="0" fontId="63" fillId="7" borderId="2" xfId="20" applyFont="1" applyBorder="1" applyAlignment="1">
      <alignment horizontal="center" vertical="center"/>
    </xf>
    <xf numFmtId="0" fontId="63" fillId="7" borderId="16" xfId="20" applyFont="1" applyBorder="1" applyAlignment="1">
      <alignment horizontal="left"/>
    </xf>
    <xf numFmtId="0" fontId="63" fillId="7" borderId="15" xfId="20" applyFont="1" applyBorder="1" applyAlignment="1">
      <alignment horizontal="center"/>
    </xf>
    <xf numFmtId="0" fontId="60" fillId="7" borderId="2" xfId="20" applyFont="1" applyBorder="1" applyAlignment="1">
      <alignment horizontal="center" vertical="center"/>
    </xf>
    <xf numFmtId="0" fontId="39" fillId="19" borderId="0" xfId="32" applyFont="1" applyAlignment="1">
      <alignment horizontal="center" vertical="center"/>
    </xf>
    <xf numFmtId="0" fontId="39" fillId="19" borderId="0" xfId="32" applyFont="1" applyAlignment="1">
      <alignment horizontal="right"/>
    </xf>
    <xf numFmtId="0" fontId="60" fillId="7" borderId="0" xfId="20" applyFont="1" applyAlignment="1">
      <alignment horizontal="left"/>
    </xf>
    <xf numFmtId="0" fontId="68" fillId="7" borderId="18" xfId="20" applyFont="1" applyBorder="1" applyAlignment="1">
      <alignment/>
    </xf>
    <xf numFmtId="0" fontId="39" fillId="19" borderId="0" xfId="32" applyFont="1" applyAlignment="1">
      <alignment horizontal="right"/>
    </xf>
    <xf numFmtId="2" fontId="64" fillId="0" borderId="0" xfId="0" applyNumberFormat="1" applyFont="1" applyAlignment="1">
      <alignment/>
    </xf>
    <xf numFmtId="2" fontId="60" fillId="7" borderId="0" xfId="20" applyNumberFormat="1" applyFont="1" applyAlignment="1">
      <alignment horizontal="center"/>
    </xf>
    <xf numFmtId="2" fontId="60" fillId="7" borderId="19" xfId="20" applyNumberFormat="1" applyFont="1" applyBorder="1" applyAlignment="1">
      <alignment horizontal="left"/>
    </xf>
    <xf numFmtId="2" fontId="63" fillId="0" borderId="0" xfId="0" applyNumberFormat="1" applyFont="1" applyAlignment="1">
      <alignment/>
    </xf>
    <xf numFmtId="2" fontId="60" fillId="7" borderId="2" xfId="20" applyNumberFormat="1" applyFont="1" applyBorder="1" applyAlignment="1">
      <alignment horizontal="left"/>
    </xf>
    <xf numFmtId="2" fontId="0" fillId="7" borderId="2" xfId="20" applyNumberFormat="1" applyBorder="1" applyAlignment="1">
      <alignment/>
    </xf>
    <xf numFmtId="2" fontId="0" fillId="7" borderId="2" xfId="20" applyNumberFormat="1" applyBorder="1" applyAlignment="1">
      <alignment horizontal="center" vertical="center" textRotation="255"/>
    </xf>
    <xf numFmtId="2" fontId="60" fillId="7" borderId="2" xfId="20" applyNumberFormat="1" applyFont="1" applyBorder="1" applyAlignment="1">
      <alignment horizontal="left" vertical="center"/>
    </xf>
    <xf numFmtId="2" fontId="0" fillId="7" borderId="2" xfId="20" applyNumberFormat="1" applyBorder="1" applyAlignment="1">
      <alignment vertical="center"/>
    </xf>
    <xf numFmtId="2" fontId="60" fillId="7" borderId="12" xfId="20" applyNumberFormat="1" applyFont="1" applyBorder="1" applyAlignment="1">
      <alignment horizontal="left"/>
    </xf>
    <xf numFmtId="2" fontId="60" fillId="7" borderId="0" xfId="20" applyNumberFormat="1" applyFont="1" applyAlignment="1">
      <alignment/>
    </xf>
    <xf numFmtId="2" fontId="60" fillId="7" borderId="11" xfId="20" applyNumberFormat="1" applyFont="1" applyBorder="1" applyAlignment="1">
      <alignment/>
    </xf>
    <xf numFmtId="2" fontId="60" fillId="0" borderId="0" xfId="0" applyNumberFormat="1" applyFont="1" applyAlignment="1">
      <alignment/>
    </xf>
    <xf numFmtId="2" fontId="66" fillId="0" borderId="0" xfId="0" applyNumberFormat="1" applyFont="1" applyAlignment="1">
      <alignment wrapText="1"/>
    </xf>
    <xf numFmtId="2" fontId="66" fillId="0" borderId="0" xfId="0" applyNumberFormat="1" applyFont="1" applyAlignment="1">
      <alignment/>
    </xf>
    <xf numFmtId="0" fontId="65" fillId="27" borderId="2" xfId="40" applyFont="1" applyAlignment="1">
      <alignment/>
    </xf>
    <xf numFmtId="0" fontId="0" fillId="7" borderId="2" xfId="20" applyBorder="1" applyAlignment="1">
      <alignment/>
    </xf>
    <xf numFmtId="2" fontId="69" fillId="7" borderId="0" xfId="20" applyNumberFormat="1" applyFont="1" applyAlignment="1">
      <alignment horizontal="center" vertical="center"/>
    </xf>
    <xf numFmtId="0" fontId="60" fillId="7" borderId="1" xfId="20" applyFont="1" applyBorder="1" applyAlignment="1">
      <alignment horizontal="right"/>
    </xf>
    <xf numFmtId="0" fontId="60" fillId="7" borderId="1" xfId="20" applyFont="1" applyBorder="1" applyAlignment="1">
      <alignment/>
    </xf>
    <xf numFmtId="2" fontId="60" fillId="7" borderId="0" xfId="20" applyNumberFormat="1" applyFont="1" applyAlignment="1">
      <alignment/>
    </xf>
    <xf numFmtId="0" fontId="60" fillId="7" borderId="2" xfId="20" applyFont="1" applyBorder="1" applyAlignment="1">
      <alignment/>
    </xf>
    <xf numFmtId="0" fontId="65" fillId="27" borderId="2" xfId="40" applyFont="1" applyAlignment="1">
      <alignment horizontal="center" vertical="center"/>
    </xf>
    <xf numFmtId="0" fontId="60" fillId="7" borderId="0" xfId="20" applyFont="1" applyAlignment="1">
      <alignment horizontal="left"/>
    </xf>
    <xf numFmtId="0" fontId="60" fillId="7" borderId="20" xfId="20" applyFont="1" applyBorder="1" applyAlignment="1">
      <alignment horizontal="left"/>
    </xf>
    <xf numFmtId="0" fontId="60" fillId="7" borderId="0" xfId="20" applyFont="1" applyAlignment="1">
      <alignment horizontal="left"/>
    </xf>
    <xf numFmtId="0" fontId="70" fillId="27" borderId="2" xfId="40" applyFont="1" applyAlignment="1">
      <alignment/>
    </xf>
    <xf numFmtId="0" fontId="60" fillId="7" borderId="8" xfId="20" applyFont="1" applyBorder="1" applyAlignment="1">
      <alignment/>
    </xf>
    <xf numFmtId="0" fontId="40" fillId="13" borderId="0" xfId="26" applyFont="1" applyAlignment="1">
      <alignment/>
    </xf>
    <xf numFmtId="0" fontId="39" fillId="19" borderId="0" xfId="32" applyFont="1" applyAlignment="1">
      <alignment horizontal="right"/>
    </xf>
    <xf numFmtId="0" fontId="60" fillId="7" borderId="0" xfId="20" applyFont="1" applyAlignment="1">
      <alignment horizontal="center" vertical="center"/>
    </xf>
    <xf numFmtId="2" fontId="0" fillId="7" borderId="13" xfId="20" applyNumberFormat="1" applyBorder="1" applyAlignment="1">
      <alignment horizontal="center" vertical="center" textRotation="255"/>
    </xf>
    <xf numFmtId="0" fontId="60" fillId="7" borderId="0" xfId="20" applyFont="1" applyAlignment="1">
      <alignment/>
    </xf>
    <xf numFmtId="2" fontId="0" fillId="7" borderId="2" xfId="20" applyNumberFormat="1" applyBorder="1" applyAlignment="1">
      <alignment horizontal="left"/>
    </xf>
    <xf numFmtId="0" fontId="64" fillId="7" borderId="2" xfId="20" applyFont="1" applyBorder="1" applyAlignment="1">
      <alignment/>
    </xf>
    <xf numFmtId="0" fontId="64" fillId="7" borderId="2" xfId="20" applyFont="1" applyBorder="1" applyAlignment="1">
      <alignment horizontal="center" vertical="center"/>
    </xf>
    <xf numFmtId="0" fontId="65" fillId="27" borderId="2" xfId="40" applyFont="1" applyAlignment="1">
      <alignment horizontal="right"/>
    </xf>
    <xf numFmtId="0" fontId="65" fillId="27" borderId="2" xfId="40" applyFont="1" applyAlignment="1">
      <alignment horizontal="right" vertical="center"/>
    </xf>
    <xf numFmtId="0" fontId="64" fillId="7" borderId="2" xfId="20" applyFont="1" applyBorder="1" applyAlignment="1">
      <alignment horizontal="right" vertical="center"/>
    </xf>
    <xf numFmtId="2" fontId="64" fillId="0" borderId="0" xfId="0" applyNumberFormat="1" applyFont="1" applyAlignment="1">
      <alignment horizontal="right"/>
    </xf>
    <xf numFmtId="0" fontId="0" fillId="7" borderId="2" xfId="20" applyBorder="1" applyAlignment="1">
      <alignment horizontal="right" vertical="center" textRotation="255"/>
    </xf>
    <xf numFmtId="0" fontId="0" fillId="7" borderId="2" xfId="20" applyBorder="1" applyAlignment="1">
      <alignment vertical="center" textRotation="255"/>
    </xf>
    <xf numFmtId="0" fontId="65" fillId="27" borderId="10" xfId="40" applyFont="1" applyBorder="1" applyAlignment="1">
      <alignment horizontal="right" vertical="center"/>
    </xf>
    <xf numFmtId="0" fontId="71" fillId="7" borderId="0" xfId="20" applyFont="1" applyAlignment="1">
      <alignment horizontal="center" vertical="center"/>
    </xf>
    <xf numFmtId="0" fontId="60" fillId="7" borderId="2" xfId="20" applyFont="1" applyBorder="1" applyAlignment="1">
      <alignment horizontal="left"/>
    </xf>
    <xf numFmtId="0" fontId="52" fillId="7" borderId="2" xfId="20" applyFont="1" applyBorder="1" applyAlignment="1">
      <alignment/>
    </xf>
    <xf numFmtId="0" fontId="52" fillId="7" borderId="2" xfId="20" applyFont="1" applyBorder="1" applyAlignment="1">
      <alignment horizontal="center" vertical="center"/>
    </xf>
    <xf numFmtId="0" fontId="60" fillId="7" borderId="2" xfId="20" applyFont="1" applyBorder="1" applyAlignment="1">
      <alignment horizontal="left" vertical="center"/>
    </xf>
    <xf numFmtId="2" fontId="60" fillId="7" borderId="0" xfId="20" applyNumberFormat="1" applyFont="1" applyAlignment="1">
      <alignment horizontal="left"/>
    </xf>
    <xf numFmtId="0" fontId="0" fillId="7" borderId="2" xfId="20" applyBorder="1" applyAlignment="1">
      <alignment horizontal="center" vertical="center"/>
    </xf>
    <xf numFmtId="0" fontId="0" fillId="7" borderId="2" xfId="20" applyBorder="1" applyAlignment="1">
      <alignment vertical="center"/>
    </xf>
    <xf numFmtId="0" fontId="65" fillId="27" borderId="2" xfId="40" applyFont="1" applyAlignment="1">
      <alignment vertical="center"/>
    </xf>
    <xf numFmtId="2" fontId="64" fillId="0" borderId="0" xfId="0" applyNumberFormat="1" applyFont="1" applyAlignment="1">
      <alignment vertical="center"/>
    </xf>
    <xf numFmtId="0" fontId="0" fillId="7" borderId="2" xfId="20" applyBorder="1" applyAlignment="1">
      <alignment horizontal="right" vertical="center"/>
    </xf>
    <xf numFmtId="0" fontId="63" fillId="7" borderId="2" xfId="20" applyFont="1" applyBorder="1" applyAlignment="1">
      <alignment vertical="center"/>
    </xf>
    <xf numFmtId="0" fontId="60" fillId="7" borderId="2" xfId="20" applyFont="1" applyBorder="1" applyAlignment="1">
      <alignment vertical="center"/>
    </xf>
    <xf numFmtId="0" fontId="60" fillId="7" borderId="2" xfId="20" applyFont="1" applyBorder="1" applyAlignment="1">
      <alignment horizontal="right" vertical="center"/>
    </xf>
    <xf numFmtId="0" fontId="63" fillId="7" borderId="2" xfId="20" applyFont="1" applyBorder="1" applyAlignment="1">
      <alignment/>
    </xf>
    <xf numFmtId="0" fontId="65" fillId="27" borderId="2" xfId="40" applyFont="1" applyAlignment="1">
      <alignment horizontal="right" vertical="center"/>
    </xf>
    <xf numFmtId="0" fontId="0" fillId="7" borderId="2" xfId="20" applyBorder="1" applyAlignment="1">
      <alignment/>
    </xf>
    <xf numFmtId="0" fontId="0" fillId="7" borderId="2" xfId="20" applyBorder="1" applyAlignment="1">
      <alignment horizontal="center" vertical="center"/>
    </xf>
    <xf numFmtId="0" fontId="65" fillId="27" borderId="2" xfId="40" applyFont="1" applyAlignment="1">
      <alignment horizontal="right"/>
    </xf>
    <xf numFmtId="0" fontId="8" fillId="27" borderId="2" xfId="56">
      <alignment horizontal="left"/>
      <protection/>
    </xf>
    <xf numFmtId="0" fontId="5" fillId="7" borderId="1" xfId="20" applyFont="1" applyBorder="1" applyAlignment="1">
      <alignment horizontal="right"/>
    </xf>
    <xf numFmtId="0" fontId="5" fillId="7" borderId="2" xfId="20" applyFont="1" applyBorder="1" applyAlignment="1">
      <alignment/>
    </xf>
    <xf numFmtId="0" fontId="0" fillId="7" borderId="2" xfId="20" applyBorder="1" applyAlignment="1">
      <alignment horizontal="left"/>
    </xf>
    <xf numFmtId="0" fontId="46" fillId="27" borderId="2" xfId="40" applyAlignment="1">
      <alignment/>
    </xf>
    <xf numFmtId="0" fontId="0" fillId="7" borderId="8" xfId="20" applyBorder="1" applyAlignment="1">
      <alignment/>
    </xf>
    <xf numFmtId="0" fontId="60" fillId="7" borderId="2" xfId="20" applyFont="1" applyBorder="1" applyAlignment="1">
      <alignment horizontal="center" vertical="center" wrapText="1"/>
    </xf>
    <xf numFmtId="0" fontId="60" fillId="7" borderId="13" xfId="20" applyFont="1" applyBorder="1" applyAlignment="1">
      <alignment horizontal="center" vertical="center" wrapText="1"/>
    </xf>
    <xf numFmtId="0" fontId="60" fillId="7" borderId="18" xfId="20" applyFont="1" applyBorder="1" applyAlignment="1">
      <alignment horizontal="center"/>
    </xf>
    <xf numFmtId="0" fontId="60" fillId="7" borderId="17" xfId="20" applyFont="1" applyBorder="1" applyAlignment="1">
      <alignment horizontal="center"/>
    </xf>
    <xf numFmtId="0" fontId="60" fillId="7" borderId="21" xfId="20" applyFont="1" applyBorder="1" applyAlignment="1">
      <alignment horizontal="center" vertical="center" wrapText="1"/>
    </xf>
    <xf numFmtId="0" fontId="60" fillId="7" borderId="13" xfId="2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40" fillId="13" borderId="0" xfId="26" applyFont="1" applyAlignment="1">
      <alignment horizontal="right"/>
    </xf>
    <xf numFmtId="0" fontId="39" fillId="19" borderId="0" xfId="32" applyFont="1" applyAlignment="1">
      <alignment horizontal="right"/>
    </xf>
    <xf numFmtId="0" fontId="68" fillId="7" borderId="18" xfId="20" applyFont="1" applyBorder="1" applyAlignment="1">
      <alignment horizontal="center"/>
    </xf>
    <xf numFmtId="0" fontId="68" fillId="7" borderId="17" xfId="20" applyFont="1" applyBorder="1" applyAlignment="1">
      <alignment horizontal="center"/>
    </xf>
    <xf numFmtId="0" fontId="5" fillId="19" borderId="0" xfId="32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60" fillId="7" borderId="2" xfId="20" applyFont="1" applyBorder="1" applyAlignment="1">
      <alignment horizontal="center" vertical="center" wrapText="1"/>
    </xf>
    <xf numFmtId="2" fontId="72" fillId="0" borderId="0" xfId="0" applyNumberFormat="1" applyFont="1" applyAlignment="1">
      <alignment horizontal="center"/>
    </xf>
    <xf numFmtId="2" fontId="65" fillId="27" borderId="22" xfId="40" applyNumberFormat="1" applyFont="1" applyBorder="1" applyAlignment="1">
      <alignment horizontal="center" vertical="center" textRotation="255"/>
    </xf>
    <xf numFmtId="2" fontId="65" fillId="27" borderId="13" xfId="40" applyNumberFormat="1" applyFont="1" applyBorder="1" applyAlignment="1">
      <alignment horizontal="center" vertical="center" textRotation="255"/>
    </xf>
    <xf numFmtId="2" fontId="60" fillId="7" borderId="2" xfId="20" applyNumberFormat="1" applyFont="1" applyBorder="1" applyAlignment="1">
      <alignment horizontal="center" vertical="center" wrapText="1"/>
    </xf>
    <xf numFmtId="2" fontId="5" fillId="19" borderId="10" xfId="32" applyNumberFormat="1" applyFont="1" applyBorder="1" applyAlignment="1">
      <alignment horizontal="left" wrapText="1"/>
    </xf>
    <xf numFmtId="2" fontId="5" fillId="19" borderId="10" xfId="32" applyNumberFormat="1" applyFont="1" applyBorder="1" applyAlignment="1">
      <alignment horizontal="left"/>
    </xf>
    <xf numFmtId="2" fontId="60" fillId="7" borderId="0" xfId="20" applyNumberFormat="1" applyFont="1" applyAlignment="1">
      <alignment horizontal="left"/>
    </xf>
    <xf numFmtId="2" fontId="60" fillId="7" borderId="21" xfId="20" applyNumberFormat="1" applyFont="1" applyBorder="1" applyAlignment="1">
      <alignment horizontal="center" vertical="center" wrapText="1"/>
    </xf>
    <xf numFmtId="2" fontId="60" fillId="7" borderId="13" xfId="20" applyNumberFormat="1" applyFont="1" applyBorder="1" applyAlignment="1">
      <alignment horizontal="center" vertical="center" wrapText="1"/>
    </xf>
    <xf numFmtId="2" fontId="60" fillId="7" borderId="16" xfId="20" applyNumberFormat="1" applyFont="1" applyBorder="1" applyAlignment="1">
      <alignment horizontal="left"/>
    </xf>
    <xf numFmtId="2" fontId="60" fillId="7" borderId="18" xfId="20" applyNumberFormat="1" applyFont="1" applyBorder="1" applyAlignment="1">
      <alignment horizontal="left"/>
    </xf>
    <xf numFmtId="2" fontId="60" fillId="7" borderId="17" xfId="20" applyNumberFormat="1" applyFont="1" applyBorder="1" applyAlignment="1">
      <alignment horizontal="left"/>
    </xf>
    <xf numFmtId="2" fontId="60" fillId="7" borderId="19" xfId="20" applyNumberFormat="1" applyFont="1" applyBorder="1" applyAlignment="1">
      <alignment horizontal="center"/>
    </xf>
    <xf numFmtId="2" fontId="60" fillId="7" borderId="23" xfId="20" applyNumberFormat="1" applyFont="1" applyBorder="1" applyAlignment="1">
      <alignment horizontal="center"/>
    </xf>
    <xf numFmtId="0" fontId="44" fillId="19" borderId="0" xfId="32" applyAlignment="1">
      <alignment horizontal="right"/>
    </xf>
    <xf numFmtId="0" fontId="72" fillId="0" borderId="0" xfId="0" applyFont="1" applyAlignment="1">
      <alignment horizontal="center"/>
    </xf>
    <xf numFmtId="0" fontId="5" fillId="19" borderId="10" xfId="32" applyFont="1" applyBorder="1" applyAlignment="1">
      <alignment horizontal="left" wrapText="1"/>
    </xf>
    <xf numFmtId="0" fontId="5" fillId="19" borderId="10" xfId="32" applyFont="1" applyBorder="1" applyAlignment="1">
      <alignment horizontal="left"/>
    </xf>
    <xf numFmtId="0" fontId="67" fillId="13" borderId="0" xfId="26" applyFont="1" applyAlignment="1">
      <alignment horizontal="right"/>
    </xf>
    <xf numFmtId="0" fontId="60" fillId="7" borderId="24" xfId="20" applyFont="1" applyBorder="1" applyAlignment="1">
      <alignment horizontal="left" vertical="center" wrapText="1"/>
    </xf>
    <xf numFmtId="0" fontId="60" fillId="7" borderId="19" xfId="20" applyFont="1" applyBorder="1" applyAlignment="1">
      <alignment horizontal="left" vertical="center" wrapText="1"/>
    </xf>
    <xf numFmtId="0" fontId="60" fillId="7" borderId="23" xfId="20" applyFont="1" applyBorder="1" applyAlignment="1">
      <alignment horizontal="left" vertical="center" wrapText="1"/>
    </xf>
    <xf numFmtId="0" fontId="60" fillId="13" borderId="0" xfId="26" applyFont="1" applyAlignment="1">
      <alignment horizontal="right"/>
    </xf>
    <xf numFmtId="0" fontId="60" fillId="13" borderId="0" xfId="26" applyFont="1" applyAlignment="1" quotePrefix="1">
      <alignment horizontal="right"/>
    </xf>
    <xf numFmtId="0" fontId="0" fillId="0" borderId="0" xfId="0" applyAlignment="1">
      <alignment horizontal="center"/>
    </xf>
    <xf numFmtId="0" fontId="5" fillId="19" borderId="10" xfId="32" applyFont="1" applyBorder="1" applyAlignment="1">
      <alignment wrapText="1"/>
    </xf>
    <xf numFmtId="0" fontId="6" fillId="19" borderId="18" xfId="42" applyFont="1" applyFill="1" applyBorder="1" applyAlignment="1" applyProtection="1">
      <alignment horizontal="left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айсовый" xfId="56"/>
    <cellStyle name="Примечание" xfId="57"/>
    <cellStyle name="Percent" xfId="58"/>
    <cellStyle name="Связанная ячейка" xfId="59"/>
    <cellStyle name="Серый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erochki.ru/content/tseny" TargetMode="External" /><Relationship Id="rId3" Type="http://schemas.openxmlformats.org/officeDocument/2006/relationships/hyperlink" Target="http://www.terochki.ru/content/tsen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hyperlink" Target="http://btfly.ru/content/zeny" TargetMode="External" /><Relationship Id="rId5" Type="http://schemas.openxmlformats.org/officeDocument/2006/relationships/hyperlink" Target="http://btfly.ru/content/zen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http://warbrushes.ru/content/tseny-na-rascheski" TargetMode="External" /><Relationship Id="rId4" Type="http://schemas.openxmlformats.org/officeDocument/2006/relationships/hyperlink" Target="http://warbrushes.ru/content/tseny-na-rascheski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hyperlink" Target="http://2resnichki.ru/content/ceny" TargetMode="External" /><Relationship Id="rId3" Type="http://schemas.openxmlformats.org/officeDocument/2006/relationships/hyperlink" Target="http://2resnichki.ru/content/ceny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www.carapky.ru/content/tseny-na-tsarapki-i-nezagryazinki" TargetMode="External" /><Relationship Id="rId3" Type="http://schemas.openxmlformats.org/officeDocument/2006/relationships/hyperlink" Target="http://www.carapky.ru/content/tseny-na-tsarapki-i-nezagryazinki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massagerell.ru/content/zeni" TargetMode="External" /><Relationship Id="rId3" Type="http://schemas.openxmlformats.org/officeDocument/2006/relationships/hyperlink" Target="http://www.massagerell.ru/content/zen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4</xdr:row>
      <xdr:rowOff>0</xdr:rowOff>
    </xdr:from>
    <xdr:to>
      <xdr:col>0</xdr:col>
      <xdr:colOff>1057275</xdr:colOff>
      <xdr:row>5</xdr:row>
      <xdr:rowOff>0</xdr:rowOff>
    </xdr:to>
    <xdr:pic>
      <xdr:nvPicPr>
        <xdr:cNvPr id="1" name="Рисунок 1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151</xdr:row>
      <xdr:rowOff>57150</xdr:rowOff>
    </xdr:from>
    <xdr:to>
      <xdr:col>4</xdr:col>
      <xdr:colOff>685800</xdr:colOff>
      <xdr:row>153</xdr:row>
      <xdr:rowOff>9525</xdr:rowOff>
    </xdr:to>
    <xdr:sp>
      <xdr:nvSpPr>
        <xdr:cNvPr id="2" name="Прямая со стрелкой 7"/>
        <xdr:cNvSpPr>
          <a:spLocks/>
        </xdr:cNvSpPr>
      </xdr:nvSpPr>
      <xdr:spPr>
        <a:xfrm flipH="1">
          <a:off x="5753100" y="2071687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151</xdr:row>
      <xdr:rowOff>38100</xdr:rowOff>
    </xdr:from>
    <xdr:to>
      <xdr:col>0</xdr:col>
      <xdr:colOff>180975</xdr:colOff>
      <xdr:row>152</xdr:row>
      <xdr:rowOff>104775</xdr:rowOff>
    </xdr:to>
    <xdr:sp>
      <xdr:nvSpPr>
        <xdr:cNvPr id="3" name="Прямая со стрелкой 19"/>
        <xdr:cNvSpPr>
          <a:spLocks/>
        </xdr:cNvSpPr>
      </xdr:nvSpPr>
      <xdr:spPr>
        <a:xfrm>
          <a:off x="85725" y="2069782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552450</xdr:colOff>
      <xdr:row>0</xdr:row>
      <xdr:rowOff>161925</xdr:rowOff>
    </xdr:from>
    <xdr:to>
      <xdr:col>3</xdr:col>
      <xdr:colOff>704850</xdr:colOff>
      <xdr:row>0</xdr:row>
      <xdr:rowOff>314325</xdr:rowOff>
    </xdr:to>
    <xdr:pic>
      <xdr:nvPicPr>
        <xdr:cNvPr id="4" name="Рисунок 1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Рисунок 1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62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139</xdr:row>
      <xdr:rowOff>0</xdr:rowOff>
    </xdr:from>
    <xdr:to>
      <xdr:col>0</xdr:col>
      <xdr:colOff>552450</xdr:colOff>
      <xdr:row>140</xdr:row>
      <xdr:rowOff>9525</xdr:rowOff>
    </xdr:to>
    <xdr:pic>
      <xdr:nvPicPr>
        <xdr:cNvPr id="2" name="Рисунок 2" descr="f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885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66</xdr:row>
      <xdr:rowOff>0</xdr:rowOff>
    </xdr:from>
    <xdr:to>
      <xdr:col>0</xdr:col>
      <xdr:colOff>981075</xdr:colOff>
      <xdr:row>67</xdr:row>
      <xdr:rowOff>9525</xdr:rowOff>
    </xdr:to>
    <xdr:pic>
      <xdr:nvPicPr>
        <xdr:cNvPr id="3" name="Рисунок 3" descr="icon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9163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144</xdr:row>
      <xdr:rowOff>0</xdr:rowOff>
    </xdr:from>
    <xdr:to>
      <xdr:col>4</xdr:col>
      <xdr:colOff>800100</xdr:colOff>
      <xdr:row>145</xdr:row>
      <xdr:rowOff>38100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5000625" y="19621500"/>
          <a:ext cx="123825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144</xdr:row>
      <xdr:rowOff>0</xdr:rowOff>
    </xdr:from>
    <xdr:to>
      <xdr:col>0</xdr:col>
      <xdr:colOff>190500</xdr:colOff>
      <xdr:row>145</xdr:row>
      <xdr:rowOff>47625</xdr:rowOff>
    </xdr:to>
    <xdr:sp>
      <xdr:nvSpPr>
        <xdr:cNvPr id="5" name="Прямая со стрелкой 5"/>
        <xdr:cNvSpPr>
          <a:spLocks/>
        </xdr:cNvSpPr>
      </xdr:nvSpPr>
      <xdr:spPr>
        <a:xfrm>
          <a:off x="76200" y="19621500"/>
          <a:ext cx="114300" cy="1714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352425</xdr:rowOff>
    </xdr:from>
    <xdr:to>
      <xdr:col>1</xdr:col>
      <xdr:colOff>219075</xdr:colOff>
      <xdr:row>0</xdr:row>
      <xdr:rowOff>504825</xdr:rowOff>
    </xdr:to>
    <xdr:pic>
      <xdr:nvPicPr>
        <xdr:cNvPr id="6" name="Рисунок 1" descr="favicB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52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781050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24</xdr:row>
      <xdr:rowOff>0</xdr:rowOff>
    </xdr:from>
    <xdr:to>
      <xdr:col>3</xdr:col>
      <xdr:colOff>666750</xdr:colOff>
      <xdr:row>25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038600" y="360997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24</xdr:row>
      <xdr:rowOff>0</xdr:rowOff>
    </xdr:from>
    <xdr:to>
      <xdr:col>0</xdr:col>
      <xdr:colOff>161925</xdr:colOff>
      <xdr:row>25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360997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2</xdr:row>
      <xdr:rowOff>180975</xdr:rowOff>
    </xdr:from>
    <xdr:to>
      <xdr:col>0</xdr:col>
      <xdr:colOff>838200</xdr:colOff>
      <xdr:row>4</xdr:row>
      <xdr:rowOff>0</xdr:rowOff>
    </xdr:to>
    <xdr:pic>
      <xdr:nvPicPr>
        <xdr:cNvPr id="4" name="Рисунок 4" descr="favic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342900</xdr:rowOff>
    </xdr:from>
    <xdr:to>
      <xdr:col>2</xdr:col>
      <xdr:colOff>323850</xdr:colOff>
      <xdr:row>0</xdr:row>
      <xdr:rowOff>495300</xdr:rowOff>
    </xdr:to>
    <xdr:pic>
      <xdr:nvPicPr>
        <xdr:cNvPr id="5" name="Рисунок 4" descr="favicon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9</xdr:row>
      <xdr:rowOff>0</xdr:rowOff>
    </xdr:from>
    <xdr:to>
      <xdr:col>0</xdr:col>
      <xdr:colOff>781050</xdr:colOff>
      <xdr:row>10</xdr:row>
      <xdr:rowOff>95250</xdr:rowOff>
    </xdr:to>
    <xdr:pic>
      <xdr:nvPicPr>
        <xdr:cNvPr id="6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714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</xdr:row>
      <xdr:rowOff>0</xdr:rowOff>
    </xdr:from>
    <xdr:to>
      <xdr:col>0</xdr:col>
      <xdr:colOff>781050</xdr:colOff>
      <xdr:row>5</xdr:row>
      <xdr:rowOff>9525</xdr:rowOff>
    </xdr:to>
    <xdr:pic>
      <xdr:nvPicPr>
        <xdr:cNvPr id="7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953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5</xdr:row>
      <xdr:rowOff>0</xdr:rowOff>
    </xdr:from>
    <xdr:to>
      <xdr:col>0</xdr:col>
      <xdr:colOff>781050</xdr:colOff>
      <xdr:row>6</xdr:row>
      <xdr:rowOff>9525</xdr:rowOff>
    </xdr:to>
    <xdr:pic>
      <xdr:nvPicPr>
        <xdr:cNvPr id="8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192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6</xdr:row>
      <xdr:rowOff>0</xdr:rowOff>
    </xdr:from>
    <xdr:to>
      <xdr:col>0</xdr:col>
      <xdr:colOff>781050</xdr:colOff>
      <xdr:row>7</xdr:row>
      <xdr:rowOff>9525</xdr:rowOff>
    </xdr:to>
    <xdr:pic>
      <xdr:nvPicPr>
        <xdr:cNvPr id="9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430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6</xdr:row>
      <xdr:rowOff>0</xdr:rowOff>
    </xdr:from>
    <xdr:to>
      <xdr:col>0</xdr:col>
      <xdr:colOff>781050</xdr:colOff>
      <xdr:row>7</xdr:row>
      <xdr:rowOff>9525</xdr:rowOff>
    </xdr:to>
    <xdr:pic>
      <xdr:nvPicPr>
        <xdr:cNvPr id="10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430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7</xdr:row>
      <xdr:rowOff>0</xdr:rowOff>
    </xdr:from>
    <xdr:to>
      <xdr:col>0</xdr:col>
      <xdr:colOff>781050</xdr:colOff>
      <xdr:row>8</xdr:row>
      <xdr:rowOff>9525</xdr:rowOff>
    </xdr:to>
    <xdr:pic>
      <xdr:nvPicPr>
        <xdr:cNvPr id="1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668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7</xdr:row>
      <xdr:rowOff>0</xdr:rowOff>
    </xdr:from>
    <xdr:to>
      <xdr:col>0</xdr:col>
      <xdr:colOff>781050</xdr:colOff>
      <xdr:row>8</xdr:row>
      <xdr:rowOff>9525</xdr:rowOff>
    </xdr:to>
    <xdr:pic>
      <xdr:nvPicPr>
        <xdr:cNvPr id="12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668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9</xdr:row>
      <xdr:rowOff>9525</xdr:rowOff>
    </xdr:to>
    <xdr:pic>
      <xdr:nvPicPr>
        <xdr:cNvPr id="13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906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3</xdr:row>
      <xdr:rowOff>0</xdr:rowOff>
    </xdr:from>
    <xdr:to>
      <xdr:col>1</xdr:col>
      <xdr:colOff>9525</xdr:colOff>
      <xdr:row>4</xdr:row>
      <xdr:rowOff>9525</xdr:rowOff>
    </xdr:to>
    <xdr:pic>
      <xdr:nvPicPr>
        <xdr:cNvPr id="1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4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51</xdr:row>
      <xdr:rowOff>152400</xdr:rowOff>
    </xdr:from>
    <xdr:to>
      <xdr:col>5</xdr:col>
      <xdr:colOff>552450</xdr:colOff>
      <xdr:row>53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4457700" y="73533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152400</xdr:rowOff>
    </xdr:from>
    <xdr:to>
      <xdr:col>0</xdr:col>
      <xdr:colOff>142875</xdr:colOff>
      <xdr:row>53</xdr:row>
      <xdr:rowOff>57150</xdr:rowOff>
    </xdr:to>
    <xdr:sp>
      <xdr:nvSpPr>
        <xdr:cNvPr id="3" name="Прямая со стрелкой 4"/>
        <xdr:cNvSpPr>
          <a:spLocks/>
        </xdr:cNvSpPr>
      </xdr:nvSpPr>
      <xdr:spPr>
        <a:xfrm>
          <a:off x="47625" y="73533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333375</xdr:rowOff>
    </xdr:from>
    <xdr:to>
      <xdr:col>3</xdr:col>
      <xdr:colOff>400050</xdr:colOff>
      <xdr:row>0</xdr:row>
      <xdr:rowOff>485775</xdr:rowOff>
    </xdr:to>
    <xdr:pic>
      <xdr:nvPicPr>
        <xdr:cNvPr id="4" name="Рисунок 3" descr="favicon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11</xdr:row>
      <xdr:rowOff>0</xdr:rowOff>
    </xdr:from>
    <xdr:to>
      <xdr:col>0</xdr:col>
      <xdr:colOff>1304925</xdr:colOff>
      <xdr:row>12</xdr:row>
      <xdr:rowOff>9525</xdr:rowOff>
    </xdr:to>
    <xdr:pic>
      <xdr:nvPicPr>
        <xdr:cNvPr id="5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152400</xdr:rowOff>
    </xdr:from>
    <xdr:to>
      <xdr:col>3</xdr:col>
      <xdr:colOff>742950</xdr:colOff>
      <xdr:row>38</xdr:row>
      <xdr:rowOff>66675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4324350" y="52387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142875</xdr:colOff>
      <xdr:row>38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>
          <a:off x="47625" y="524827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1295400</xdr:colOff>
      <xdr:row>3</xdr:row>
      <xdr:rowOff>9525</xdr:rowOff>
    </xdr:from>
    <xdr:to>
      <xdr:col>0</xdr:col>
      <xdr:colOff>1447800</xdr:colOff>
      <xdr:row>4</xdr:row>
      <xdr:rowOff>9525</xdr:rowOff>
    </xdr:to>
    <xdr:pic>
      <xdr:nvPicPr>
        <xdr:cNvPr id="3" name="Рисунок 5" descr="faviconС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333375</xdr:rowOff>
    </xdr:from>
    <xdr:to>
      <xdr:col>2</xdr:col>
      <xdr:colOff>352425</xdr:colOff>
      <xdr:row>0</xdr:row>
      <xdr:rowOff>485775</xdr:rowOff>
    </xdr:to>
    <xdr:pic>
      <xdr:nvPicPr>
        <xdr:cNvPr id="4" name="Рисунок 5" descr="faviconСС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81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10</xdr:row>
      <xdr:rowOff>0</xdr:rowOff>
    </xdr:from>
    <xdr:to>
      <xdr:col>3</xdr:col>
      <xdr:colOff>666750</xdr:colOff>
      <xdr:row>11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324350" y="199072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0</xdr:rowOff>
    </xdr:from>
    <xdr:to>
      <xdr:col>0</xdr:col>
      <xdr:colOff>161925</xdr:colOff>
      <xdr:row>11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199072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0</xdr:row>
      <xdr:rowOff>371475</xdr:rowOff>
    </xdr:from>
    <xdr:to>
      <xdr:col>1</xdr:col>
      <xdr:colOff>352425</xdr:colOff>
      <xdr:row>0</xdr:row>
      <xdr:rowOff>523875</xdr:rowOff>
    </xdr:to>
    <xdr:pic>
      <xdr:nvPicPr>
        <xdr:cNvPr id="4" name="Рисунок 1" descr="f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ochki.ru/content/derevyannye-terki-dlya-nog-iz-buka-woodbuk-ot-mowe-professional" TargetMode="External" /><Relationship Id="rId2" Type="http://schemas.openxmlformats.org/officeDocument/2006/relationships/hyperlink" Target="http://www.terochki.ru/content/derevyannye-terki-dlya-nog-iz-buka-woodbuk-ot-mowe-professional" TargetMode="External" /><Relationship Id="rId3" Type="http://schemas.openxmlformats.org/officeDocument/2006/relationships/hyperlink" Target="http://www.terochki.ru/content/derevyannye-terki-dlya-nog-iz-buka-woodbuk-ot-mowe-professional" TargetMode="External" /><Relationship Id="rId4" Type="http://schemas.openxmlformats.org/officeDocument/2006/relationships/hyperlink" Target="http://terochki.ru/content/derevyannye-terki-iz-buka-woodlack-ot-mowe-professional" TargetMode="External" /><Relationship Id="rId5" Type="http://schemas.openxmlformats.org/officeDocument/2006/relationships/hyperlink" Target="http://terochki.ru/content/lazernye-i-abrazivnye-terki-dlya-nog-mowe-professional" TargetMode="External" /><Relationship Id="rId6" Type="http://schemas.openxmlformats.org/officeDocument/2006/relationships/hyperlink" Target="http://www.terochki.ru/content/terka-quadro-sun-mowe" TargetMode="External" /><Relationship Id="rId7" Type="http://schemas.openxmlformats.org/officeDocument/2006/relationships/hyperlink" Target="http://www.terochki.ru/content/lazernaya-terka-sun" TargetMode="External" /><Relationship Id="rId8" Type="http://schemas.openxmlformats.org/officeDocument/2006/relationships/hyperlink" Target="http://www.terochki.ru/content/lazernaya-terka-guliver" TargetMode="External" /><Relationship Id="rId9" Type="http://schemas.openxmlformats.org/officeDocument/2006/relationships/hyperlink" Target="http://terochki.ru/content/elektricheskaya-terka-dlya-nog-mowe-professional" TargetMode="External" /><Relationship Id="rId10" Type="http://schemas.openxmlformats.org/officeDocument/2006/relationships/hyperlink" Target="http://terochki.ru/content/uglovaya-pilka-dlya-nogtei-i-kutikuly-zero" TargetMode="External" /><Relationship Id="rId11" Type="http://schemas.openxmlformats.org/officeDocument/2006/relationships/hyperlink" Target="http://terochki.ru/content/lazernaya-pilka-polirovka-dlya-nogtei-elegant-ot-mowe-solingen" TargetMode="External" /><Relationship Id="rId12" Type="http://schemas.openxmlformats.org/officeDocument/2006/relationships/hyperlink" Target="http://terochki.ru/content/abrazivnaya-7-storonnyaya-pilka-polirovka-raduga" TargetMode="External" /><Relationship Id="rId13" Type="http://schemas.openxmlformats.org/officeDocument/2006/relationships/hyperlink" Target="http://terochki.ru/content/abrazivnaya-4-kh-storonnyaya-pilka-polirovka-propeller" TargetMode="External" /><Relationship Id="rId14" Type="http://schemas.openxmlformats.org/officeDocument/2006/relationships/hyperlink" Target="http://terochki.ru/content/polirovki-dlya-nogtei-abc-pro-3" TargetMode="External" /><Relationship Id="rId15" Type="http://schemas.openxmlformats.org/officeDocument/2006/relationships/hyperlink" Target="http://terochki.ru/content/almaznaya-pilka-na-metallicheskoi-svyazke" TargetMode="External" /><Relationship Id="rId16" Type="http://schemas.openxmlformats.org/officeDocument/2006/relationships/hyperlink" Target="http://terochki.ru/content/pilki-i-polirovki-dlya-nogtei-mowe-professional" TargetMode="External" /><Relationship Id="rId17" Type="http://schemas.openxmlformats.org/officeDocument/2006/relationships/hyperlink" Target="http://terochki.ru/content/pushera-i-shabery-mowe-lc" TargetMode="External" /><Relationship Id="rId18" Type="http://schemas.openxmlformats.org/officeDocument/2006/relationships/hyperlink" Target="http://terochki.ru/content/pushpi-quadro-pusher-pilka" TargetMode="External" /><Relationship Id="rId19" Type="http://schemas.openxmlformats.org/officeDocument/2006/relationships/hyperlink" Target="http://terochki.ru/content/pushpi-pusherpilka-na-osnove-metallicheskikh-lazernykh-pilok" TargetMode="External" /><Relationship Id="rId20" Type="http://schemas.openxmlformats.org/officeDocument/2006/relationships/hyperlink" Target="http://terochki.ru/content/pedikyurnye-kusachki-mowe-lc" TargetMode="External" /><Relationship Id="rId21" Type="http://schemas.openxmlformats.org/officeDocument/2006/relationships/hyperlink" Target="http://terochki.ru/content/pintsety-i-knipsera-mowe-lc-seriya" TargetMode="External" /><Relationship Id="rId22" Type="http://schemas.openxmlformats.org/officeDocument/2006/relationships/hyperlink" Target="http://terochki.ru/content/manikyurnye-nozhnitsy-uluchshennogo-kachestva-italiya" TargetMode="External" /><Relationship Id="rId23" Type="http://schemas.openxmlformats.org/officeDocument/2006/relationships/hyperlink" Target="http://terochki.ru/content/uglovye-lazernye-pilki-zero-pink-i-zero-mint" TargetMode="External" /><Relationship Id="rId24" Type="http://schemas.openxmlformats.org/officeDocument/2006/relationships/hyperlink" Target="http://terochki.ru/content/srezayushchaya-terka-ergo" TargetMode="External" /><Relationship Id="rId25" Type="http://schemas.openxmlformats.org/officeDocument/2006/relationships/hyperlink" Target="http://terochki.ru/content/pedikyurnye-kusachki-mowe-lc" TargetMode="External" /><Relationship Id="rId26" Type="http://schemas.openxmlformats.org/officeDocument/2006/relationships/hyperlink" Target="http://terochki.ru/content/nozhnitsy-mowe-solingen-lowcost-seriya" TargetMode="External" /><Relationship Id="rId27" Type="http://schemas.openxmlformats.org/officeDocument/2006/relationships/hyperlink" Target="http://terochki.ru/content/pintsety-i-knipsera-mowe-lc-seriya" TargetMode="External" /><Relationship Id="rId28" Type="http://schemas.openxmlformats.org/officeDocument/2006/relationships/hyperlink" Target="http://terochki.ru/content/vlagostoikie-trekhstupenchatye-terki-dlya-nog-waterproof-ot-mowe-professional" TargetMode="External" /><Relationship Id="rId29" Type="http://schemas.openxmlformats.org/officeDocument/2006/relationships/hyperlink" Target="http://terochki.ru/content/pilki-i-polirovki-dlya-nogtei-mowe-professional" TargetMode="External" /><Relationship Id="rId30" Type="http://schemas.openxmlformats.org/officeDocument/2006/relationships/hyperlink" Target="http://terochki.ru/content/nozhnitsy-mowe-solingen-lowcost-seriya" TargetMode="External" /><Relationship Id="rId31" Type="http://schemas.openxmlformats.org/officeDocument/2006/relationships/hyperlink" Target="http://terochki.ru/content/kusachki-manikyurnye-mowe-solingen-low-cost-seriya" TargetMode="External" /><Relationship Id="rId32" Type="http://schemas.openxmlformats.org/officeDocument/2006/relationships/hyperlink" Target="http://terochki.ru/content/nozhnitsy-mowe-solingen-lowcost-seriya" TargetMode="External" /><Relationship Id="rId33" Type="http://schemas.openxmlformats.org/officeDocument/2006/relationships/hyperlink" Target="http://terochki.ru/content/pintsety-i-knipsera-mowe-lc-seriya" TargetMode="External" /><Relationship Id="rId34" Type="http://schemas.openxmlformats.org/officeDocument/2006/relationships/hyperlink" Target="http://terochki.ru/content/pintsety-i-knipsera-mowe-lc-seriya" TargetMode="External" /><Relationship Id="rId35" Type="http://schemas.openxmlformats.org/officeDocument/2006/relationships/hyperlink" Target="http://terochki.ru/content/pintsety-i-knipsera-mowe-lc-seriya" TargetMode="External" /><Relationship Id="rId36" Type="http://schemas.openxmlformats.org/officeDocument/2006/relationships/hyperlink" Target="http://terochki.ru/content/kliner-dlya-litsa-i-smyva-kosmetiki-s-penoobrazovatelem-chichi" TargetMode="External" /><Relationship Id="rId37" Type="http://schemas.openxmlformats.org/officeDocument/2006/relationships/hyperlink" Target="http://terochki.ru/content/lazernaya-terka-1031-violet" TargetMode="External" /><Relationship Id="rId38" Type="http://schemas.openxmlformats.org/officeDocument/2006/relationships/hyperlink" Target="http://terochki.ru/content/terka-dlya-pyatok-s-glubokimi-treshchinami-excavator" TargetMode="External" /><Relationship Id="rId39" Type="http://schemas.openxmlformats.org/officeDocument/2006/relationships/hyperlink" Target="http://terochki.ru/content/pilki-i-polirovki-dlya-nogtei-mowe-professional" TargetMode="External" /><Relationship Id="rId40" Type="http://schemas.openxmlformats.org/officeDocument/2006/relationships/hyperlink" Target="http://terochki.ru/content/uglovye-lazernye-pilki-zero-pink-i-zero-mint" TargetMode="Externa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tfly.ru/content/terka-lazer" TargetMode="External" /><Relationship Id="rId2" Type="http://schemas.openxmlformats.org/officeDocument/2006/relationships/hyperlink" Target="http://btfly.ru/content/lazernaya-terka-1023-nickel" TargetMode="External" /><Relationship Id="rId3" Type="http://schemas.openxmlformats.org/officeDocument/2006/relationships/hyperlink" Target="http://btfly.ru/content/lazernaya-terka-1031-sun" TargetMode="External" /><Relationship Id="rId4" Type="http://schemas.openxmlformats.org/officeDocument/2006/relationships/hyperlink" Target="http://btfly.ru/content/terka-lazernaya-mini" TargetMode="External" /><Relationship Id="rId5" Type="http://schemas.openxmlformats.org/officeDocument/2006/relationships/hyperlink" Target="http://btfly.ru/content/1037-Hybrid" TargetMode="External" /><Relationship Id="rId6" Type="http://schemas.openxmlformats.org/officeDocument/2006/relationships/hyperlink" Target="http://btfly.ru/103125" TargetMode="External" /><Relationship Id="rId7" Type="http://schemas.openxmlformats.org/officeDocument/2006/relationships/hyperlink" Target="http://btfly.ru/content/srezayushchaya-terka" TargetMode="External" /><Relationship Id="rId8" Type="http://schemas.openxmlformats.org/officeDocument/2006/relationships/hyperlink" Target="http://btfly.ru/content/srezayushchaya-lipsovaya-terka-mini" TargetMode="External" /><Relationship Id="rId9" Type="http://schemas.openxmlformats.org/officeDocument/2006/relationships/hyperlink" Target="http://btfly.ru/content/volnovaya_pilka" TargetMode="External" /><Relationship Id="rId10" Type="http://schemas.openxmlformats.org/officeDocument/2006/relationships/hyperlink" Target="http://btfly.ru/content/terka-zigzag" TargetMode="External" /><Relationship Id="rId11" Type="http://schemas.openxmlformats.org/officeDocument/2006/relationships/hyperlink" Target="http://btfly.ru/content/3082-Portable" TargetMode="External" /><Relationship Id="rId12" Type="http://schemas.openxmlformats.org/officeDocument/2006/relationships/hyperlink" Target="http://btfly.ru/content/pilka-3083s" TargetMode="External" /><Relationship Id="rId13" Type="http://schemas.openxmlformats.org/officeDocument/2006/relationships/hyperlink" Target="http://btfly.ru/content/3085-Sun" TargetMode="External" /><Relationship Id="rId14" Type="http://schemas.openxmlformats.org/officeDocument/2006/relationships/hyperlink" Target="http://btfly.ru/content/3085-Sun" TargetMode="External" /><Relationship Id="rId15" Type="http://schemas.openxmlformats.org/officeDocument/2006/relationships/hyperlink" Target="http://btfly.ru/content/3087-Supernova" TargetMode="External" /><Relationship Id="rId16" Type="http://schemas.openxmlformats.org/officeDocument/2006/relationships/hyperlink" Target="http://btfly.ru/content/lazernaya-pilka-polirovka-dlya-nogtei-terma" TargetMode="External" /><Relationship Id="rId17" Type="http://schemas.openxmlformats.org/officeDocument/2006/relationships/hyperlink" Target="http://btfly.ru/content/lazernaya-pilka-polirovka-dlya-nogtei-terma-2-reborn" TargetMode="External" /><Relationship Id="rId18" Type="http://schemas.openxmlformats.org/officeDocument/2006/relationships/hyperlink" Target="http://btfly.ru/content/steklyannye-pilki" TargetMode="External" /><Relationship Id="rId19" Type="http://schemas.openxmlformats.org/officeDocument/2006/relationships/hyperlink" Target="http://btfly.ru/content/karandash-dlya-kutikuly" TargetMode="External" /><Relationship Id="rId20" Type="http://schemas.openxmlformats.org/officeDocument/2006/relationships/hyperlink" Target="http://btfly.ru/content/multitrimmer-dlya-kozhi-i-kutikuly" TargetMode="External" /><Relationship Id="rId21" Type="http://schemas.openxmlformats.org/officeDocument/2006/relationships/hyperlink" Target="http://btfly.ru/content/trekhfunktsionalnaya-trekhurovnevaya-chudo-mochalka-butterfly" TargetMode="External" /><Relationship Id="rId22" Type="http://schemas.openxmlformats.org/officeDocument/2006/relationships/hyperlink" Target="http://btfly.ru/content/chekhly-dlya-manikyurnogo-instrumenta" TargetMode="External" /><Relationship Id="rId23" Type="http://schemas.openxmlformats.org/officeDocument/2006/relationships/hyperlink" Target="http://btfly.ru/content/manikyurnye-dorozhnye-nabory-butterfly-seriya-ylt" TargetMode="External" /><Relationship Id="rId24" Type="http://schemas.openxmlformats.org/officeDocument/2006/relationships/hyperlink" Target="http://btfly.ru/content/manikyurnye-i-pedikyurnye-nabory-double-polish-round" TargetMode="External" /><Relationship Id="rId25" Type="http://schemas.openxmlformats.org/officeDocument/2006/relationships/hyperlink" Target="http://btfly.ru/content/manikyurnye-i-pedikyurnye-nabory-butterfly" TargetMode="External" /><Relationship Id="rId26" Type="http://schemas.openxmlformats.org/officeDocument/2006/relationships/hyperlink" Target="http://www.finefoot.ru/content/rukovodstvo-po-ispolzovaniyu-piling-nosochkov" TargetMode="External" /><Relationship Id="rId27" Type="http://schemas.openxmlformats.org/officeDocument/2006/relationships/hyperlink" Target="http://www.finefoot.ru/content/parafinovye-perchatki" TargetMode="External" /><Relationship Id="rId28" Type="http://schemas.openxmlformats.org/officeDocument/2006/relationships/hyperlink" Target="http://www.finefoot.ru/content/bystromanikyur" TargetMode="External" /><Relationship Id="rId29" Type="http://schemas.openxmlformats.org/officeDocument/2006/relationships/hyperlink" Target="http://btfly.ru/content/manikyurnyi-instrument-serii-ergonomic" TargetMode="External" /><Relationship Id="rId30" Type="http://schemas.openxmlformats.org/officeDocument/2006/relationships/hyperlink" Target="http://btfly.ru/content/manikyurnye-kusachki-serii-elegant" TargetMode="External" /><Relationship Id="rId31" Type="http://schemas.openxmlformats.org/officeDocument/2006/relationships/hyperlink" Target="http://btfly.ru/content/manikyurnye-i-pedikyurnye-kusachki-dpr-double-polish-round" TargetMode="External" /><Relationship Id="rId32" Type="http://schemas.openxmlformats.org/officeDocument/2006/relationships/hyperlink" Target="http://btfly.ru/content/manikyurnye-kusachki-butterfly-seriya-low-cost" TargetMode="External" /><Relationship Id="rId33" Type="http://schemas.openxmlformats.org/officeDocument/2006/relationships/hyperlink" Target="http://btfly.ru/content/nozhnitsy-butterfly-poliuretanovoe-pokrytie-soft-touch" TargetMode="External" /><Relationship Id="rId34" Type="http://schemas.openxmlformats.org/officeDocument/2006/relationships/hyperlink" Target="http://btfly.ru/content/manikyurnye-kusachki" TargetMode="External" /><Relationship Id="rId35" Type="http://schemas.openxmlformats.org/officeDocument/2006/relationships/hyperlink" Target="http://btfly.ru/content/pintsety-i-pushera-dpr-double-polish-round" TargetMode="External" /><Relationship Id="rId36" Type="http://schemas.openxmlformats.org/officeDocument/2006/relationships/hyperlink" Target="http://btfly.ru/content/lazernaya-terka-liquid" TargetMode="External" /><Relationship Id="rId37" Type="http://schemas.openxmlformats.org/officeDocument/2006/relationships/hyperlink" Target="http://btfly.ru/content/pintsety-i-pushera-dpr-double-polish-round" TargetMode="External" /><Relationship Id="rId38" Type="http://schemas.openxmlformats.org/officeDocument/2006/relationships/hyperlink" Target="http://btfly.ru/content/pintsety-i-pushera-dpr-double-polish-round" TargetMode="External" /><Relationship Id="rId39" Type="http://schemas.openxmlformats.org/officeDocument/2006/relationships/hyperlink" Target="http://btfly.ru/content/manikyurnye-i-nogtevye-nozhnitsy-dpr-double-polish-round" TargetMode="External" /><Relationship Id="rId40" Type="http://schemas.openxmlformats.org/officeDocument/2006/relationships/hyperlink" Target="http://btfly.ru/content/lazernaya-terka-dlya-nog-1033-mayfair" TargetMode="External" /><Relationship Id="rId41" Type="http://schemas.openxmlformats.org/officeDocument/2006/relationships/hyperlink" Target="http://btfly.ru/content/manikyurnye-nozhnitsy" TargetMode="External" /><Relationship Id="rId42" Type="http://schemas.openxmlformats.org/officeDocument/2006/relationships/hyperlink" Target="http://btfly.ru/content/manikyurnye-i-pedikyurnye-kusachki-dpr-double-polish-round" TargetMode="External" /><Relationship Id="rId43" Type="http://schemas.openxmlformats.org/officeDocument/2006/relationships/hyperlink" Target="http://btfly.ru/content/manikyurnye-i-pedikyurnye-kusachki-dpr-double-polish-round" TargetMode="External" /><Relationship Id="rId44" Type="http://schemas.openxmlformats.org/officeDocument/2006/relationships/drawing" Target="../drawings/drawing2.xml" /><Relationship Id="rId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arbrushes.ru/" TargetMode="External" /><Relationship Id="rId2" Type="http://schemas.openxmlformats.org/officeDocument/2006/relationships/hyperlink" Target="http://warbrushes.ru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2resnichki.ru/content/resnitsy" TargetMode="External" /><Relationship Id="rId2" Type="http://schemas.openxmlformats.org/officeDocument/2006/relationships/hyperlink" Target="http://2resnichki.ru/content/puchki-iz-odinochnykh-resnits" TargetMode="External" /><Relationship Id="rId3" Type="http://schemas.openxmlformats.org/officeDocument/2006/relationships/hyperlink" Target="http://2resnichki.ru/content/odinochnye-resnichki" TargetMode="External" /><Relationship Id="rId4" Type="http://schemas.openxmlformats.org/officeDocument/2006/relationships/hyperlink" Target="http://2resnichki.ru/content/materialy-dlya-narashchivaniya-resnits" TargetMode="External" /><Relationship Id="rId5" Type="http://schemas.openxmlformats.org/officeDocument/2006/relationships/hyperlink" Target="http://terochki.ru/content/pintsety-i-knipsera-mowe-lc-seriya" TargetMode="External" /><Relationship Id="rId6" Type="http://schemas.openxmlformats.org/officeDocument/2006/relationships/hyperlink" Target="http://2resnichki.ru/content/resnitsy" TargetMode="External" /><Relationship Id="rId7" Type="http://schemas.openxmlformats.org/officeDocument/2006/relationships/hyperlink" Target="http://2resnichki.ru/content/resnitsy" TargetMode="External" /><Relationship Id="rId8" Type="http://schemas.openxmlformats.org/officeDocument/2006/relationships/hyperlink" Target="http://2resnichki.ru/content/kosmeticheskie-zerkala-s-magnitnym-zamkom-i-dvukhkratnym-uvelicheniem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apky.ru/content/tseny-na-tsarapki-i-nezagryazinki" TargetMode="External" /><Relationship Id="rId2" Type="http://schemas.openxmlformats.org/officeDocument/2006/relationships/hyperlink" Target="http://www.carapky.ru/" TargetMode="External" /><Relationship Id="rId3" Type="http://schemas.openxmlformats.org/officeDocument/2006/relationships/hyperlink" Target="http://www.carapky.ru/content/tsarapki-dlya-sobak" TargetMode="External" /><Relationship Id="rId4" Type="http://schemas.openxmlformats.org/officeDocument/2006/relationships/hyperlink" Target="http://www.carapky.ru/content/nezagryazinki-myagkie-galoshi-dlya-sobak-i-koshek" TargetMode="External" /><Relationship Id="rId5" Type="http://schemas.openxmlformats.org/officeDocument/2006/relationships/hyperlink" Target="http://www.carapky.ru/content/pilka-dlya-kogtei-koshek-i-sobak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sagerell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51"/>
  <sheetViews>
    <sheetView tabSelected="1" workbookViewId="0" topLeftCell="A1">
      <selection activeCell="F9" sqref="F9"/>
    </sheetView>
  </sheetViews>
  <sheetFormatPr defaultColWidth="9.140625" defaultRowHeight="9.75" customHeight="1"/>
  <cols>
    <col min="1" max="1" width="43.7109375" style="2" customWidth="1"/>
    <col min="2" max="2" width="11.421875" style="2" customWidth="1"/>
    <col min="3" max="4" width="11.140625" style="2" customWidth="1"/>
    <col min="5" max="5" width="14.28125" style="2" customWidth="1"/>
    <col min="6" max="6" width="14.8515625" style="2" customWidth="1"/>
    <col min="7" max="16384" width="9.140625" style="2" customWidth="1"/>
  </cols>
  <sheetData>
    <row r="1" spans="1:6" ht="27.75" customHeight="1">
      <c r="A1" s="125" t="s">
        <v>288</v>
      </c>
      <c r="B1" s="126"/>
      <c r="C1" s="126"/>
      <c r="D1" s="126"/>
      <c r="E1" s="126"/>
      <c r="F1" s="63">
        <v>65</v>
      </c>
    </row>
    <row r="2" spans="1:6" ht="10.5" customHeight="1">
      <c r="A2" s="127"/>
      <c r="B2" s="127"/>
      <c r="C2" s="127"/>
      <c r="D2" s="127"/>
      <c r="E2" s="127"/>
      <c r="F2" s="47" t="s">
        <v>109</v>
      </c>
    </row>
    <row r="3" spans="1:6" ht="9.75" customHeight="1">
      <c r="A3" s="128" t="s">
        <v>0</v>
      </c>
      <c r="B3" s="118" t="s">
        <v>21</v>
      </c>
      <c r="C3" s="118" t="s">
        <v>96</v>
      </c>
      <c r="D3" s="128" t="s">
        <v>95</v>
      </c>
      <c r="E3" s="128" t="s">
        <v>1</v>
      </c>
      <c r="F3" s="66" t="s">
        <v>110</v>
      </c>
    </row>
    <row r="4" spans="1:6" ht="15" customHeight="1">
      <c r="A4" s="128"/>
      <c r="B4" s="119"/>
      <c r="C4" s="119"/>
      <c r="D4" s="128"/>
      <c r="E4" s="128"/>
      <c r="F4" s="89" t="s">
        <v>418</v>
      </c>
    </row>
    <row r="5" spans="1:5" ht="12" customHeight="1">
      <c r="A5" s="43" t="s">
        <v>252</v>
      </c>
      <c r="B5" s="116" t="s">
        <v>91</v>
      </c>
      <c r="C5" s="116"/>
      <c r="D5" s="116"/>
      <c r="E5" s="117"/>
    </row>
    <row r="6" spans="1:5" ht="10.5" customHeight="1">
      <c r="A6" s="108" t="s">
        <v>239</v>
      </c>
      <c r="B6" s="26">
        <f>INT(F1*0.86)</f>
        <v>55</v>
      </c>
      <c r="C6" s="3">
        <v>0</v>
      </c>
      <c r="D6" s="30" t="s">
        <v>101</v>
      </c>
      <c r="E6" s="3">
        <f aca="true" t="shared" si="0" ref="E6:E14">(B6*C6)</f>
        <v>0</v>
      </c>
    </row>
    <row r="7" spans="1:5" ht="10.5" customHeight="1">
      <c r="A7" s="108" t="s">
        <v>240</v>
      </c>
      <c r="B7" s="26">
        <f>INT(F1*0.86)</f>
        <v>55</v>
      </c>
      <c r="C7" s="3">
        <v>0</v>
      </c>
      <c r="D7" s="30" t="s">
        <v>101</v>
      </c>
      <c r="E7" s="3">
        <f t="shared" si="0"/>
        <v>0</v>
      </c>
    </row>
    <row r="8" spans="1:5" ht="10.5" customHeight="1">
      <c r="A8" s="108" t="s">
        <v>241</v>
      </c>
      <c r="B8" s="26">
        <f>INT(F1*0.86)</f>
        <v>55</v>
      </c>
      <c r="C8" s="3">
        <v>0</v>
      </c>
      <c r="D8" s="30" t="s">
        <v>101</v>
      </c>
      <c r="E8" s="3">
        <f t="shared" si="0"/>
        <v>0</v>
      </c>
    </row>
    <row r="9" spans="1:5" ht="10.5" customHeight="1">
      <c r="A9" s="108" t="s">
        <v>242</v>
      </c>
      <c r="B9" s="26">
        <f>INT(F1*1.28)</f>
        <v>83</v>
      </c>
      <c r="C9" s="3">
        <v>0</v>
      </c>
      <c r="D9" s="30" t="s">
        <v>101</v>
      </c>
      <c r="E9" s="3">
        <f t="shared" si="0"/>
        <v>0</v>
      </c>
    </row>
    <row r="10" spans="1:5" ht="10.5" customHeight="1">
      <c r="A10" s="108" t="s">
        <v>243</v>
      </c>
      <c r="B10" s="26">
        <f>INT(F1*1.28)</f>
        <v>83</v>
      </c>
      <c r="C10" s="3">
        <v>0</v>
      </c>
      <c r="D10" s="30" t="s">
        <v>101</v>
      </c>
      <c r="E10" s="3">
        <f t="shared" si="0"/>
        <v>0</v>
      </c>
    </row>
    <row r="11" spans="1:5" ht="10.5" customHeight="1">
      <c r="A11" s="108" t="s">
        <v>244</v>
      </c>
      <c r="B11" s="26">
        <f>INT(F1*1.28)</f>
        <v>83</v>
      </c>
      <c r="C11" s="3">
        <v>0</v>
      </c>
      <c r="D11" s="30" t="s">
        <v>101</v>
      </c>
      <c r="E11" s="3">
        <f t="shared" si="0"/>
        <v>0</v>
      </c>
    </row>
    <row r="12" spans="1:5" ht="10.5" customHeight="1">
      <c r="A12" s="108" t="s">
        <v>350</v>
      </c>
      <c r="B12" s="26">
        <f>INT(F1*2.27)</f>
        <v>147</v>
      </c>
      <c r="C12" s="3">
        <v>0</v>
      </c>
      <c r="D12" s="30" t="s">
        <v>101</v>
      </c>
      <c r="E12" s="3">
        <f t="shared" si="0"/>
        <v>0</v>
      </c>
    </row>
    <row r="13" spans="1:5" ht="10.5" customHeight="1">
      <c r="A13" s="108" t="s">
        <v>351</v>
      </c>
      <c r="B13" s="26">
        <f>INT(F1*2.27)</f>
        <v>147</v>
      </c>
      <c r="C13" s="3">
        <v>0</v>
      </c>
      <c r="D13" s="30" t="s">
        <v>101</v>
      </c>
      <c r="E13" s="3">
        <f t="shared" si="0"/>
        <v>0</v>
      </c>
    </row>
    <row r="14" spans="1:5" ht="10.5" customHeight="1">
      <c r="A14" s="108" t="s">
        <v>352</v>
      </c>
      <c r="B14" s="26">
        <f>INT(F1*2.27)</f>
        <v>147</v>
      </c>
      <c r="C14" s="3">
        <v>0</v>
      </c>
      <c r="D14" s="30" t="s">
        <v>101</v>
      </c>
      <c r="E14" s="3">
        <f t="shared" si="0"/>
        <v>0</v>
      </c>
    </row>
    <row r="15" spans="1:5" ht="10.5" customHeight="1">
      <c r="A15" s="108" t="s">
        <v>353</v>
      </c>
      <c r="B15" s="26">
        <f>INT(F1*0.6)</f>
        <v>39</v>
      </c>
      <c r="C15" s="107">
        <v>0</v>
      </c>
      <c r="D15" s="30" t="s">
        <v>101</v>
      </c>
      <c r="E15" s="3">
        <f>B15*C15</f>
        <v>0</v>
      </c>
    </row>
    <row r="16" spans="1:5" ht="10.5" customHeight="1">
      <c r="A16" s="108" t="s">
        <v>354</v>
      </c>
      <c r="B16" s="26">
        <f>INT(F1*0.6)</f>
        <v>39</v>
      </c>
      <c r="C16" s="107">
        <v>0</v>
      </c>
      <c r="D16" s="30" t="s">
        <v>101</v>
      </c>
      <c r="E16" s="3">
        <f>B16*C16</f>
        <v>0</v>
      </c>
    </row>
    <row r="17" spans="1:5" ht="10.5" customHeight="1">
      <c r="A17" s="108" t="s">
        <v>355</v>
      </c>
      <c r="B17" s="26">
        <f>INT(F1*0.6)</f>
        <v>39</v>
      </c>
      <c r="C17" s="107">
        <v>0</v>
      </c>
      <c r="D17" s="30" t="s">
        <v>101</v>
      </c>
      <c r="E17" s="3">
        <f>B17*C17</f>
        <v>0</v>
      </c>
    </row>
    <row r="18" spans="1:5" ht="10.5" customHeight="1">
      <c r="A18" s="108" t="s">
        <v>356</v>
      </c>
      <c r="B18" s="26">
        <f>INT(F1*1.2)</f>
        <v>78</v>
      </c>
      <c r="C18" s="107">
        <v>0</v>
      </c>
      <c r="D18" s="30" t="s">
        <v>101</v>
      </c>
      <c r="E18" s="3">
        <f>B18*C18</f>
        <v>0</v>
      </c>
    </row>
    <row r="19" spans="1:5" ht="10.5" customHeight="1">
      <c r="A19" s="108" t="s">
        <v>389</v>
      </c>
      <c r="B19" s="26">
        <f>INT(F1*5.7)</f>
        <v>370</v>
      </c>
      <c r="C19" s="3">
        <v>0</v>
      </c>
      <c r="D19" s="30" t="s">
        <v>101</v>
      </c>
      <c r="E19" s="3">
        <f>(B19*C19)</f>
        <v>0</v>
      </c>
    </row>
    <row r="20" spans="1:5" ht="10.5" customHeight="1">
      <c r="A20" s="108" t="s">
        <v>390</v>
      </c>
      <c r="B20" s="26">
        <f>INT(F1*3.1)</f>
        <v>201</v>
      </c>
      <c r="C20" s="3">
        <v>0</v>
      </c>
      <c r="D20" s="30" t="s">
        <v>101</v>
      </c>
      <c r="E20" s="3">
        <f>(B20*C20)</f>
        <v>0</v>
      </c>
    </row>
    <row r="21" spans="1:5" ht="10.5" customHeight="1">
      <c r="A21" s="108" t="s">
        <v>357</v>
      </c>
      <c r="B21" s="26">
        <f>INT(F1*4.65)</f>
        <v>302</v>
      </c>
      <c r="C21" s="3">
        <v>0</v>
      </c>
      <c r="D21" s="30" t="s">
        <v>101</v>
      </c>
      <c r="E21" s="3">
        <f>(B21*C21)</f>
        <v>0</v>
      </c>
    </row>
    <row r="22" spans="1:5" ht="10.5" customHeight="1">
      <c r="A22" s="108" t="s">
        <v>141</v>
      </c>
      <c r="B22" s="26">
        <f>INT(F1*6)</f>
        <v>390</v>
      </c>
      <c r="C22" s="3">
        <v>0</v>
      </c>
      <c r="D22" s="30" t="s">
        <v>101</v>
      </c>
      <c r="E22" s="3">
        <f>(B22*C22)</f>
        <v>0</v>
      </c>
    </row>
    <row r="23" spans="1:5" ht="10.5" customHeight="1">
      <c r="A23" s="108" t="s">
        <v>221</v>
      </c>
      <c r="B23" s="26">
        <f>INT(F1*6.3)</f>
        <v>409</v>
      </c>
      <c r="C23" s="3">
        <v>0</v>
      </c>
      <c r="D23" s="30" t="s">
        <v>101</v>
      </c>
      <c r="E23" s="3">
        <f aca="true" t="shared" si="1" ref="E23:E39">(B23*C23)</f>
        <v>0</v>
      </c>
    </row>
    <row r="24" spans="1:5" ht="10.5" customHeight="1">
      <c r="A24" s="108" t="s">
        <v>220</v>
      </c>
      <c r="B24" s="26">
        <f>INT(F1*6.6)</f>
        <v>429</v>
      </c>
      <c r="C24" s="3">
        <v>0</v>
      </c>
      <c r="D24" s="30" t="s">
        <v>101</v>
      </c>
      <c r="E24" s="3">
        <f t="shared" si="1"/>
        <v>0</v>
      </c>
    </row>
    <row r="25" spans="1:5" ht="10.5" customHeight="1">
      <c r="A25" s="108" t="s">
        <v>222</v>
      </c>
      <c r="B25" s="26">
        <f>INT(F1*15.3)</f>
        <v>994</v>
      </c>
      <c r="C25" s="3">
        <v>0</v>
      </c>
      <c r="D25" s="30" t="s">
        <v>101</v>
      </c>
      <c r="E25" s="3">
        <f>(B25*C25)</f>
        <v>0</v>
      </c>
    </row>
    <row r="26" spans="1:5" ht="12.75" customHeight="1">
      <c r="A26" s="90" t="s">
        <v>251</v>
      </c>
      <c r="B26" s="103"/>
      <c r="C26" s="103"/>
      <c r="D26" s="37"/>
      <c r="E26" s="103"/>
    </row>
    <row r="27" spans="1:5" ht="10.5" customHeight="1">
      <c r="A27" s="108" t="s">
        <v>232</v>
      </c>
      <c r="B27" s="26">
        <f>INT(F1*1.8)</f>
        <v>117</v>
      </c>
      <c r="C27" s="3">
        <v>0</v>
      </c>
      <c r="D27" s="30" t="s">
        <v>101</v>
      </c>
      <c r="E27" s="3">
        <f t="shared" si="1"/>
        <v>0</v>
      </c>
    </row>
    <row r="28" spans="1:5" ht="10.5" customHeight="1">
      <c r="A28" s="108" t="s">
        <v>358</v>
      </c>
      <c r="B28" s="26">
        <f>INT(F1*1.9)</f>
        <v>123</v>
      </c>
      <c r="C28" s="3">
        <v>0</v>
      </c>
      <c r="D28" s="30" t="s">
        <v>101</v>
      </c>
      <c r="E28" s="3">
        <f>(B28*C28)</f>
        <v>0</v>
      </c>
    </row>
    <row r="29" spans="1:5" ht="10.5" customHeight="1">
      <c r="A29" s="108" t="s">
        <v>359</v>
      </c>
      <c r="B29" s="26">
        <f>INT(F1*1.9)</f>
        <v>123</v>
      </c>
      <c r="C29" s="3">
        <v>0</v>
      </c>
      <c r="D29" s="30" t="s">
        <v>101</v>
      </c>
      <c r="E29" s="3">
        <f>(B29*C29)</f>
        <v>0</v>
      </c>
    </row>
    <row r="30" spans="1:5" ht="10.5" customHeight="1">
      <c r="A30" s="108" t="s">
        <v>413</v>
      </c>
      <c r="B30" s="26">
        <f>INT(F1*1.9)</f>
        <v>123</v>
      </c>
      <c r="C30" s="3">
        <v>0</v>
      </c>
      <c r="D30" s="30" t="s">
        <v>101</v>
      </c>
      <c r="E30" s="3">
        <f>(B30*C30)</f>
        <v>0</v>
      </c>
    </row>
    <row r="31" spans="1:5" ht="10.5" customHeight="1">
      <c r="A31" s="108" t="s">
        <v>233</v>
      </c>
      <c r="B31" s="26">
        <f>INT(F1*1.57)</f>
        <v>102</v>
      </c>
      <c r="C31" s="3">
        <v>0</v>
      </c>
      <c r="D31" s="30" t="s">
        <v>101</v>
      </c>
      <c r="E31" s="3">
        <f t="shared" si="1"/>
        <v>0</v>
      </c>
    </row>
    <row r="32" spans="1:5" ht="10.5" customHeight="1">
      <c r="A32" s="108" t="s">
        <v>234</v>
      </c>
      <c r="B32" s="26">
        <f>INT(F1*0.55)</f>
        <v>35</v>
      </c>
      <c r="C32" s="3">
        <v>0</v>
      </c>
      <c r="D32" s="30" t="s">
        <v>101</v>
      </c>
      <c r="E32" s="3">
        <f t="shared" si="1"/>
        <v>0</v>
      </c>
    </row>
    <row r="33" spans="1:5" ht="10.5" customHeight="1">
      <c r="A33" s="108" t="s">
        <v>360</v>
      </c>
      <c r="B33" s="26">
        <f>INT(F1*0.41)</f>
        <v>26</v>
      </c>
      <c r="C33" s="3">
        <v>0</v>
      </c>
      <c r="D33" s="30" t="s">
        <v>101</v>
      </c>
      <c r="E33" s="3">
        <f>(B33*C33)</f>
        <v>0</v>
      </c>
    </row>
    <row r="34" spans="1:5" ht="10.5" customHeight="1">
      <c r="A34" s="108" t="s">
        <v>235</v>
      </c>
      <c r="B34" s="26">
        <f>INT(F1*0.49)</f>
        <v>31</v>
      </c>
      <c r="C34" s="3">
        <v>0</v>
      </c>
      <c r="D34" s="30" t="s">
        <v>101</v>
      </c>
      <c r="E34" s="3">
        <f>(B34*C34)</f>
        <v>0</v>
      </c>
    </row>
    <row r="35" spans="1:5" ht="10.5" customHeight="1">
      <c r="A35" s="108" t="s">
        <v>408</v>
      </c>
      <c r="B35" s="26">
        <f>INT(F1*0.45)</f>
        <v>29</v>
      </c>
      <c r="C35" s="3">
        <v>0</v>
      </c>
      <c r="D35" s="30" t="s">
        <v>101</v>
      </c>
      <c r="E35" s="3">
        <f>(B35*C35)</f>
        <v>0</v>
      </c>
    </row>
    <row r="36" spans="1:5" ht="10.5" customHeight="1">
      <c r="A36" s="108" t="s">
        <v>236</v>
      </c>
      <c r="B36" s="26">
        <f>INT(F1*0.7)</f>
        <v>45</v>
      </c>
      <c r="C36" s="3">
        <v>0</v>
      </c>
      <c r="D36" s="30" t="s">
        <v>101</v>
      </c>
      <c r="E36" s="3">
        <f t="shared" si="1"/>
        <v>0</v>
      </c>
    </row>
    <row r="37" spans="1:5" ht="10.5" customHeight="1">
      <c r="A37" s="108" t="s">
        <v>237</v>
      </c>
      <c r="B37" s="26">
        <f>INT(F1*1.85)</f>
        <v>120</v>
      </c>
      <c r="C37" s="3">
        <v>0</v>
      </c>
      <c r="D37" s="30" t="s">
        <v>101</v>
      </c>
      <c r="E37" s="3">
        <f t="shared" si="1"/>
        <v>0</v>
      </c>
    </row>
    <row r="38" spans="1:5" ht="10.5" customHeight="1">
      <c r="A38" s="108" t="s">
        <v>238</v>
      </c>
      <c r="B38" s="26">
        <f>INT(F1*2.03)</f>
        <v>131</v>
      </c>
      <c r="C38" s="3">
        <v>0</v>
      </c>
      <c r="D38" s="30" t="s">
        <v>101</v>
      </c>
      <c r="E38" s="3">
        <f t="shared" si="1"/>
        <v>0</v>
      </c>
    </row>
    <row r="39" spans="1:5" ht="10.5" customHeight="1">
      <c r="A39" s="108" t="s">
        <v>361</v>
      </c>
      <c r="B39" s="26">
        <f>INT(F1*0.37)</f>
        <v>24</v>
      </c>
      <c r="C39" s="3">
        <v>0</v>
      </c>
      <c r="D39" s="30" t="s">
        <v>101</v>
      </c>
      <c r="E39" s="3">
        <f t="shared" si="1"/>
        <v>0</v>
      </c>
    </row>
    <row r="40" spans="1:5" ht="10.5" customHeight="1">
      <c r="A40" s="108" t="s">
        <v>362</v>
      </c>
      <c r="B40" s="26">
        <f>INT(F1*1.45)</f>
        <v>94</v>
      </c>
      <c r="C40" s="3">
        <v>0</v>
      </c>
      <c r="D40" s="30" t="s">
        <v>101</v>
      </c>
      <c r="E40" s="3">
        <f>(B40*C40)</f>
        <v>0</v>
      </c>
    </row>
    <row r="41" spans="1:5" ht="10.5" customHeight="1">
      <c r="A41" s="108" t="s">
        <v>363</v>
      </c>
      <c r="B41" s="26">
        <f>INT(F1*0.25)</f>
        <v>16</v>
      </c>
      <c r="C41" s="3">
        <v>0</v>
      </c>
      <c r="D41" s="30" t="s">
        <v>101</v>
      </c>
      <c r="E41" s="3">
        <f>(B41*C41)</f>
        <v>0</v>
      </c>
    </row>
    <row r="42" spans="1:5" ht="10.5" customHeight="1">
      <c r="A42" s="108" t="s">
        <v>332</v>
      </c>
      <c r="B42" s="26">
        <f>INT(F1*0.35)</f>
        <v>22</v>
      </c>
      <c r="C42" s="3">
        <v>0</v>
      </c>
      <c r="D42" s="30" t="s">
        <v>101</v>
      </c>
      <c r="E42" s="3">
        <f>(B42*C42)</f>
        <v>0</v>
      </c>
    </row>
    <row r="43" spans="1:5" ht="10.5" customHeight="1">
      <c r="A43" s="108" t="s">
        <v>159</v>
      </c>
      <c r="B43" s="26">
        <f>INT(F1*0.35)</f>
        <v>22</v>
      </c>
      <c r="C43" s="3">
        <v>0</v>
      </c>
      <c r="D43" s="30" t="s">
        <v>101</v>
      </c>
      <c r="E43" s="3">
        <f>(B43*C43)</f>
        <v>0</v>
      </c>
    </row>
    <row r="44" spans="1:5" ht="10.5" customHeight="1">
      <c r="A44" s="108" t="s">
        <v>160</v>
      </c>
      <c r="B44" s="26">
        <f>INT(F1*0.35)</f>
        <v>22</v>
      </c>
      <c r="C44" s="3">
        <v>0</v>
      </c>
      <c r="D44" s="30" t="s">
        <v>101</v>
      </c>
      <c r="E44" s="3">
        <f>(B44*C44)</f>
        <v>0</v>
      </c>
    </row>
    <row r="45" spans="1:5" ht="13.5" customHeight="1">
      <c r="A45" s="90" t="s">
        <v>275</v>
      </c>
      <c r="B45" s="105"/>
      <c r="C45" s="105"/>
      <c r="D45" s="106"/>
      <c r="E45" s="105"/>
    </row>
    <row r="46" spans="1:5" ht="11.25" customHeight="1">
      <c r="A46" s="108" t="s">
        <v>364</v>
      </c>
      <c r="B46" s="26">
        <f>INT(F1*0.86)</f>
        <v>55</v>
      </c>
      <c r="C46" s="3">
        <v>0</v>
      </c>
      <c r="D46" s="3">
        <v>0</v>
      </c>
      <c r="E46" s="3">
        <f>(B46*C46)+((B46+30)*D46)</f>
        <v>0</v>
      </c>
    </row>
    <row r="47" spans="1:5" ht="10.5" customHeight="1">
      <c r="A47" s="108" t="s">
        <v>365</v>
      </c>
      <c r="B47" s="26">
        <f>INT(F1*0.86)</f>
        <v>55</v>
      </c>
      <c r="C47" s="3">
        <v>0</v>
      </c>
      <c r="D47" s="3">
        <v>0</v>
      </c>
      <c r="E47" s="3">
        <f>(B47*C47)+((B47+30)*D47)</f>
        <v>0</v>
      </c>
    </row>
    <row r="48" spans="1:5" ht="9.75" customHeight="1">
      <c r="A48" s="108" t="s">
        <v>366</v>
      </c>
      <c r="B48" s="26">
        <f>INT(F1*0.86)</f>
        <v>55</v>
      </c>
      <c r="C48" s="3">
        <v>0</v>
      </c>
      <c r="D48" s="3">
        <v>0</v>
      </c>
      <c r="E48" s="3">
        <f>(B48*C48)+((B48+30)*D48)</f>
        <v>0</v>
      </c>
    </row>
    <row r="49" spans="1:5" ht="11.25" customHeight="1">
      <c r="A49" s="108" t="s">
        <v>367</v>
      </c>
      <c r="B49" s="26">
        <f>INT(F1*0.86)</f>
        <v>55</v>
      </c>
      <c r="C49" s="3">
        <v>0</v>
      </c>
      <c r="D49" s="3">
        <v>0</v>
      </c>
      <c r="E49" s="3">
        <f>(B49*C49)+((B49+30)*D49)</f>
        <v>0</v>
      </c>
    </row>
    <row r="50" spans="1:5" ht="11.25" customHeight="1">
      <c r="A50" s="108" t="s">
        <v>368</v>
      </c>
      <c r="B50" s="26">
        <f>INT(F1*0.86)</f>
        <v>55</v>
      </c>
      <c r="C50" s="3">
        <v>0</v>
      </c>
      <c r="D50" s="3">
        <v>0</v>
      </c>
      <c r="E50" s="3">
        <f>(B50*C50)+((B50+30)*D50)</f>
        <v>0</v>
      </c>
    </row>
    <row r="51" spans="1:5" ht="10.5" customHeight="1">
      <c r="A51" s="108" t="s">
        <v>245</v>
      </c>
      <c r="B51" s="26">
        <v>187</v>
      </c>
      <c r="C51" s="107">
        <v>0</v>
      </c>
      <c r="D51" s="104">
        <v>0</v>
      </c>
      <c r="E51" s="3">
        <f aca="true" t="shared" si="2" ref="E51:E56">B51*(C51+D51)</f>
        <v>0</v>
      </c>
    </row>
    <row r="52" spans="1:5" ht="10.5" customHeight="1">
      <c r="A52" s="108" t="s">
        <v>246</v>
      </c>
      <c r="B52" s="26">
        <v>209</v>
      </c>
      <c r="C52" s="107">
        <v>0</v>
      </c>
      <c r="D52" s="104">
        <v>0</v>
      </c>
      <c r="E52" s="3">
        <f t="shared" si="2"/>
        <v>0</v>
      </c>
    </row>
    <row r="53" spans="1:5" ht="10.5" customHeight="1">
      <c r="A53" s="108" t="s">
        <v>247</v>
      </c>
      <c r="B53" s="26">
        <v>202</v>
      </c>
      <c r="C53" s="107">
        <v>0</v>
      </c>
      <c r="D53" s="104">
        <v>0</v>
      </c>
      <c r="E53" s="3">
        <f t="shared" si="2"/>
        <v>0</v>
      </c>
    </row>
    <row r="54" spans="1:5" ht="10.5" customHeight="1">
      <c r="A54" s="108" t="s">
        <v>248</v>
      </c>
      <c r="B54" s="26">
        <v>192</v>
      </c>
      <c r="C54" s="107">
        <v>0</v>
      </c>
      <c r="D54" s="104">
        <v>0</v>
      </c>
      <c r="E54" s="3">
        <f t="shared" si="2"/>
        <v>0</v>
      </c>
    </row>
    <row r="55" spans="1:5" ht="10.5" customHeight="1">
      <c r="A55" s="108" t="s">
        <v>249</v>
      </c>
      <c r="B55" s="26">
        <v>221</v>
      </c>
      <c r="C55" s="107">
        <v>0</v>
      </c>
      <c r="D55" s="104">
        <v>0</v>
      </c>
      <c r="E55" s="3">
        <f t="shared" si="2"/>
        <v>0</v>
      </c>
    </row>
    <row r="56" spans="1:5" ht="10.5" customHeight="1">
      <c r="A56" s="108" t="s">
        <v>250</v>
      </c>
      <c r="B56" s="26">
        <v>224</v>
      </c>
      <c r="C56" s="107">
        <v>0</v>
      </c>
      <c r="D56" s="104">
        <v>0</v>
      </c>
      <c r="E56" s="3">
        <f t="shared" si="2"/>
        <v>0</v>
      </c>
    </row>
    <row r="57" spans="1:5" ht="12.75" customHeight="1">
      <c r="A57" s="90" t="s">
        <v>253</v>
      </c>
      <c r="B57" s="18"/>
      <c r="C57" s="18"/>
      <c r="D57" s="32"/>
      <c r="E57" s="18"/>
    </row>
    <row r="58" spans="1:5" ht="10.5" customHeight="1">
      <c r="A58" s="108" t="s">
        <v>161</v>
      </c>
      <c r="B58" s="26">
        <f>INT(F1*1.2)</f>
        <v>78</v>
      </c>
      <c r="C58" s="3">
        <v>0</v>
      </c>
      <c r="D58" s="3">
        <v>0</v>
      </c>
      <c r="E58" s="3">
        <f>(B58*C58)+((B58+30)*D58)</f>
        <v>0</v>
      </c>
    </row>
    <row r="59" spans="1:5" ht="10.5" customHeight="1">
      <c r="A59" s="108" t="s">
        <v>162</v>
      </c>
      <c r="B59" s="26">
        <f>INT(F1*1.2)</f>
        <v>78</v>
      </c>
      <c r="C59" s="3">
        <v>0</v>
      </c>
      <c r="D59" s="3">
        <v>0</v>
      </c>
      <c r="E59" s="3">
        <f>(B59*C59)+((B59+30)*D59)</f>
        <v>0</v>
      </c>
    </row>
    <row r="60" spans="1:5" ht="10.5" customHeight="1">
      <c r="A60" s="108" t="s">
        <v>254</v>
      </c>
      <c r="B60" s="26">
        <f>INT(F1*1.37)</f>
        <v>89</v>
      </c>
      <c r="C60" s="3">
        <v>0</v>
      </c>
      <c r="D60" s="3">
        <v>0</v>
      </c>
      <c r="E60" s="3">
        <f>(B60*C60)+((B60+30)*D60)</f>
        <v>0</v>
      </c>
    </row>
    <row r="61" spans="1:5" ht="10.5" customHeight="1">
      <c r="A61" s="108" t="s">
        <v>223</v>
      </c>
      <c r="B61" s="26">
        <f>INT(F1*1.21)</f>
        <v>78</v>
      </c>
      <c r="C61" s="3">
        <v>0</v>
      </c>
      <c r="D61" s="3">
        <v>0</v>
      </c>
      <c r="E61" s="3">
        <f>(B61*C61)+((B61+30)*D61)</f>
        <v>0</v>
      </c>
    </row>
    <row r="62" spans="1:5" ht="10.5" customHeight="1">
      <c r="A62" s="108" t="s">
        <v>346</v>
      </c>
      <c r="B62" s="26">
        <f>INT(F1*3.75)</f>
        <v>243</v>
      </c>
      <c r="C62" s="3">
        <v>0</v>
      </c>
      <c r="D62" s="3">
        <v>0</v>
      </c>
      <c r="E62" s="3">
        <f>(B62*C62)+((B62+60)*D62)</f>
        <v>0</v>
      </c>
    </row>
    <row r="63" spans="1:5" ht="10.5" customHeight="1">
      <c r="A63" s="108" t="s">
        <v>163</v>
      </c>
      <c r="B63" s="26">
        <f>INT(F1*1.2)</f>
        <v>78</v>
      </c>
      <c r="C63" s="3">
        <v>0</v>
      </c>
      <c r="D63" s="3">
        <v>0</v>
      </c>
      <c r="E63" s="3">
        <f>(B63*C63)+((B63+30)*D63)</f>
        <v>0</v>
      </c>
    </row>
    <row r="64" spans="1:5" ht="10.5" customHeight="1">
      <c r="A64" s="108" t="s">
        <v>406</v>
      </c>
      <c r="B64" s="26">
        <f>INT(F1*1.28)</f>
        <v>83</v>
      </c>
      <c r="C64" s="3">
        <v>0</v>
      </c>
      <c r="D64" s="3">
        <v>0</v>
      </c>
      <c r="E64" s="3">
        <f>(B64*C64)+((B64+30)*D64)</f>
        <v>0</v>
      </c>
    </row>
    <row r="65" spans="1:5" ht="10.5" customHeight="1">
      <c r="A65" s="108" t="s">
        <v>347</v>
      </c>
      <c r="B65" s="26">
        <f>INT(F1*1.33)</f>
        <v>86</v>
      </c>
      <c r="C65" s="3">
        <v>0</v>
      </c>
      <c r="D65" s="3">
        <v>0</v>
      </c>
      <c r="E65" s="3">
        <f>(B65*C65)+((B65+30)*D65)</f>
        <v>0</v>
      </c>
    </row>
    <row r="66" spans="1:5" ht="10.5" customHeight="1">
      <c r="A66" s="108" t="s">
        <v>255</v>
      </c>
      <c r="B66" s="26">
        <f>INT(F1*1.28)</f>
        <v>83</v>
      </c>
      <c r="C66" s="3">
        <v>0</v>
      </c>
      <c r="D66" s="3">
        <v>0</v>
      </c>
      <c r="E66" s="3">
        <f>(B66*C66)+((B66+60)*D66)</f>
        <v>0</v>
      </c>
    </row>
    <row r="67" spans="1:5" ht="10.5" customHeight="1">
      <c r="A67" s="108" t="s">
        <v>164</v>
      </c>
      <c r="B67" s="26">
        <f>INT(F1*1.2)</f>
        <v>78</v>
      </c>
      <c r="C67" s="3">
        <v>0</v>
      </c>
      <c r="D67" s="3">
        <v>0</v>
      </c>
      <c r="E67" s="3">
        <f>(B67*C67)+((B67+60)*D67)</f>
        <v>0</v>
      </c>
    </row>
    <row r="68" spans="1:5" ht="10.5" customHeight="1">
      <c r="A68" s="108" t="s">
        <v>256</v>
      </c>
      <c r="B68" s="26">
        <f>INT(F1*1.62)</f>
        <v>105</v>
      </c>
      <c r="C68" s="3">
        <v>0</v>
      </c>
      <c r="D68" s="3">
        <v>0</v>
      </c>
      <c r="E68" s="3">
        <f>(B68*C68)+((B68+30)*D68)</f>
        <v>0</v>
      </c>
    </row>
    <row r="69" spans="1:5" ht="10.5" customHeight="1">
      <c r="A69" s="108" t="s">
        <v>257</v>
      </c>
      <c r="B69" s="26">
        <f>INT(F1*1.62)</f>
        <v>105</v>
      </c>
      <c r="C69" s="3">
        <v>0</v>
      </c>
      <c r="D69" s="3">
        <v>0</v>
      </c>
      <c r="E69" s="3">
        <f>(B69*C69)+((B69+30)*D69)</f>
        <v>0</v>
      </c>
    </row>
    <row r="70" spans="1:5" ht="10.5" customHeight="1">
      <c r="A70" s="108" t="s">
        <v>258</v>
      </c>
      <c r="B70" s="26">
        <f>INT(F1*1.62)</f>
        <v>105</v>
      </c>
      <c r="C70" s="3">
        <v>0</v>
      </c>
      <c r="D70" s="3">
        <v>0</v>
      </c>
      <c r="E70" s="3">
        <f>(B70*C70)+((B70+60)*D70)</f>
        <v>0</v>
      </c>
    </row>
    <row r="71" spans="1:5" ht="10.5" customHeight="1">
      <c r="A71" s="108" t="s">
        <v>165</v>
      </c>
      <c r="B71" s="26">
        <f>INT(F1*1.2)</f>
        <v>78</v>
      </c>
      <c r="C71" s="3">
        <v>0</v>
      </c>
      <c r="D71" s="3">
        <v>0</v>
      </c>
      <c r="E71" s="3">
        <f>(B71*C71)+((B71+60)*D71)</f>
        <v>0</v>
      </c>
    </row>
    <row r="72" spans="1:5" ht="10.5" customHeight="1">
      <c r="A72" s="108" t="s">
        <v>166</v>
      </c>
      <c r="B72" s="26">
        <f>INT(F1*1.2)</f>
        <v>78</v>
      </c>
      <c r="C72" s="3">
        <v>0</v>
      </c>
      <c r="D72" s="3">
        <v>0</v>
      </c>
      <c r="E72" s="3">
        <f>(B72*C72)+((B72+60)*D72)</f>
        <v>0</v>
      </c>
    </row>
    <row r="73" spans="1:5" ht="10.5" customHeight="1">
      <c r="A73" s="108" t="s">
        <v>167</v>
      </c>
      <c r="B73" s="26">
        <f>INT(F1*1.73)</f>
        <v>112</v>
      </c>
      <c r="C73" s="3">
        <v>0</v>
      </c>
      <c r="D73" s="3">
        <v>0</v>
      </c>
      <c r="E73" s="3">
        <f aca="true" t="shared" si="3" ref="E73:E79">(B73*C73)+((B73+30)*D73)</f>
        <v>0</v>
      </c>
    </row>
    <row r="74" spans="1:5" ht="10.5" customHeight="1">
      <c r="A74" s="108" t="s">
        <v>168</v>
      </c>
      <c r="B74" s="26">
        <f>INT(F1*1.52)</f>
        <v>98</v>
      </c>
      <c r="C74" s="3">
        <v>0</v>
      </c>
      <c r="D74" s="3">
        <v>0</v>
      </c>
      <c r="E74" s="3">
        <f t="shared" si="3"/>
        <v>0</v>
      </c>
    </row>
    <row r="75" spans="1:5" ht="10.5" customHeight="1">
      <c r="A75" s="108" t="s">
        <v>169</v>
      </c>
      <c r="B75" s="26">
        <f>INT(F1*1.73)</f>
        <v>112</v>
      </c>
      <c r="C75" s="3">
        <v>0</v>
      </c>
      <c r="D75" s="3">
        <v>0</v>
      </c>
      <c r="E75" s="3">
        <f t="shared" si="3"/>
        <v>0</v>
      </c>
    </row>
    <row r="76" spans="1:5" ht="10.5" customHeight="1">
      <c r="A76" s="108" t="s">
        <v>337</v>
      </c>
      <c r="B76" s="26">
        <f>INT(F1*1.5)</f>
        <v>97</v>
      </c>
      <c r="C76" s="3">
        <v>0</v>
      </c>
      <c r="D76" s="3">
        <v>0</v>
      </c>
      <c r="E76" s="3">
        <f t="shared" si="3"/>
        <v>0</v>
      </c>
    </row>
    <row r="77" spans="1:5" ht="10.5" customHeight="1">
      <c r="A77" s="108" t="s">
        <v>338</v>
      </c>
      <c r="B77" s="26">
        <f>INT(F1*1.3)</f>
        <v>84</v>
      </c>
      <c r="C77" s="3">
        <v>0</v>
      </c>
      <c r="D77" s="3">
        <v>0</v>
      </c>
      <c r="E77" s="3">
        <f t="shared" si="3"/>
        <v>0</v>
      </c>
    </row>
    <row r="78" spans="1:5" ht="10.5" customHeight="1">
      <c r="A78" s="108" t="s">
        <v>170</v>
      </c>
      <c r="B78" s="26">
        <f>INT(F1*1.73)</f>
        <v>112</v>
      </c>
      <c r="C78" s="3">
        <v>0</v>
      </c>
      <c r="D78" s="3">
        <v>0</v>
      </c>
      <c r="E78" s="3">
        <f t="shared" si="3"/>
        <v>0</v>
      </c>
    </row>
    <row r="79" spans="1:5" ht="10.5" customHeight="1">
      <c r="A79" s="108" t="s">
        <v>336</v>
      </c>
      <c r="B79" s="26">
        <f>INT(F1*1.2)</f>
        <v>78</v>
      </c>
      <c r="C79" s="3">
        <v>0</v>
      </c>
      <c r="D79" s="3">
        <v>0</v>
      </c>
      <c r="E79" s="3">
        <f t="shared" si="3"/>
        <v>0</v>
      </c>
    </row>
    <row r="80" spans="1:5" ht="10.5" customHeight="1">
      <c r="A80" s="108" t="s">
        <v>171</v>
      </c>
      <c r="B80" s="26">
        <f>INT(F1*1.31)</f>
        <v>85</v>
      </c>
      <c r="C80" s="3">
        <v>0</v>
      </c>
      <c r="D80" s="3">
        <v>0</v>
      </c>
      <c r="E80" s="3">
        <f>(B80*C80)+((B80+60)*D80)</f>
        <v>0</v>
      </c>
    </row>
    <row r="81" spans="1:5" ht="10.5" customHeight="1">
      <c r="A81" s="108" t="s">
        <v>335</v>
      </c>
      <c r="B81" s="26">
        <f>INT(F1*1.31)</f>
        <v>85</v>
      </c>
      <c r="C81" s="3">
        <v>0</v>
      </c>
      <c r="D81" s="3">
        <v>0</v>
      </c>
      <c r="E81" s="3">
        <f>(B81*C81)+((B81+60)*D81)</f>
        <v>0</v>
      </c>
    </row>
    <row r="82" spans="1:5" ht="12" customHeight="1">
      <c r="A82" s="90" t="s">
        <v>259</v>
      </c>
      <c r="B82" s="20"/>
      <c r="C82" s="20"/>
      <c r="D82" s="40"/>
      <c r="E82" s="20"/>
    </row>
    <row r="83" spans="1:5" ht="10.5" customHeight="1">
      <c r="A83" s="108" t="s">
        <v>339</v>
      </c>
      <c r="B83" s="26">
        <f>INT(F1*2.61)</f>
        <v>169</v>
      </c>
      <c r="C83" s="3">
        <v>0</v>
      </c>
      <c r="D83" s="3">
        <v>0</v>
      </c>
      <c r="E83" s="3">
        <f>(B83*C83)+((B83+60)*D83)</f>
        <v>0</v>
      </c>
    </row>
    <row r="84" spans="1:5" ht="10.5" customHeight="1">
      <c r="A84" s="108" t="s">
        <v>340</v>
      </c>
      <c r="B84" s="26">
        <f>INT(F1*2.61)</f>
        <v>169</v>
      </c>
      <c r="C84" s="3">
        <v>0</v>
      </c>
      <c r="D84" s="3">
        <v>0</v>
      </c>
      <c r="E84" s="3">
        <f>(B84*C84)+((B84+60)*D84)</f>
        <v>0</v>
      </c>
    </row>
    <row r="85" spans="1:5" ht="10.5" customHeight="1">
      <c r="A85" s="108" t="s">
        <v>172</v>
      </c>
      <c r="B85" s="26">
        <f>INT(F1*3.1)</f>
        <v>201</v>
      </c>
      <c r="C85" s="3">
        <v>0</v>
      </c>
      <c r="D85" s="3">
        <v>0</v>
      </c>
      <c r="E85" s="3">
        <f aca="true" t="shared" si="4" ref="E85:E103">(B85*C85)+((B85+60)*D85)</f>
        <v>0</v>
      </c>
    </row>
    <row r="86" spans="1:5" ht="10.5" customHeight="1">
      <c r="A86" s="108" t="s">
        <v>173</v>
      </c>
      <c r="B86" s="26">
        <f>INT(F1*3.2)</f>
        <v>208</v>
      </c>
      <c r="C86" s="3">
        <v>0</v>
      </c>
      <c r="D86" s="3">
        <v>0</v>
      </c>
      <c r="E86" s="3">
        <f t="shared" si="4"/>
        <v>0</v>
      </c>
    </row>
    <row r="87" spans="1:5" ht="10.5" customHeight="1">
      <c r="A87" s="108" t="s">
        <v>174</v>
      </c>
      <c r="B87" s="26">
        <f>INT(F1*3.51)</f>
        <v>228</v>
      </c>
      <c r="C87" s="3">
        <v>0</v>
      </c>
      <c r="D87" s="3">
        <v>0</v>
      </c>
      <c r="E87" s="3">
        <f t="shared" si="4"/>
        <v>0</v>
      </c>
    </row>
    <row r="88" spans="1:5" ht="10.5" customHeight="1">
      <c r="A88" s="108" t="s">
        <v>175</v>
      </c>
      <c r="B88" s="26">
        <f>INT(F1*2.78)</f>
        <v>180</v>
      </c>
      <c r="C88" s="3">
        <v>0</v>
      </c>
      <c r="D88" s="3">
        <v>0</v>
      </c>
      <c r="E88" s="3">
        <f t="shared" si="4"/>
        <v>0</v>
      </c>
    </row>
    <row r="89" spans="1:5" ht="10.5" customHeight="1">
      <c r="A89" s="108" t="s">
        <v>176</v>
      </c>
      <c r="B89" s="26">
        <f>INT(F1*3.2)</f>
        <v>208</v>
      </c>
      <c r="C89" s="3">
        <v>0</v>
      </c>
      <c r="D89" s="3">
        <v>0</v>
      </c>
      <c r="E89" s="3">
        <f>(B89*C89)+((B89+60)*D89)</f>
        <v>0</v>
      </c>
    </row>
    <row r="90" spans="1:5" ht="10.5" customHeight="1">
      <c r="A90" s="108" t="s">
        <v>407</v>
      </c>
      <c r="B90" s="26">
        <f>INT(F1*3.28)</f>
        <v>213</v>
      </c>
      <c r="C90" s="3">
        <v>0</v>
      </c>
      <c r="D90" s="3">
        <v>0</v>
      </c>
      <c r="E90" s="3">
        <f>(B90*C90)+((B90+60)*D90)</f>
        <v>0</v>
      </c>
    </row>
    <row r="91" spans="1:5" ht="10.5" customHeight="1">
      <c r="A91" s="108" t="s">
        <v>260</v>
      </c>
      <c r="B91" s="26">
        <f>INT(F1*2.58)</f>
        <v>167</v>
      </c>
      <c r="C91" s="3">
        <v>0</v>
      </c>
      <c r="D91" s="3">
        <v>0</v>
      </c>
      <c r="E91" s="3">
        <f>(B91*C91)+((B91+60)*D91)</f>
        <v>0</v>
      </c>
    </row>
    <row r="92" spans="1:5" ht="10.5" customHeight="1">
      <c r="A92" s="108" t="s">
        <v>261</v>
      </c>
      <c r="B92" s="26">
        <f>INT(F1*2.61)</f>
        <v>169</v>
      </c>
      <c r="C92" s="3">
        <v>0</v>
      </c>
      <c r="D92" s="3">
        <v>0</v>
      </c>
      <c r="E92" s="3">
        <f>(B92*C92)+((B92+60)*D92)</f>
        <v>0</v>
      </c>
    </row>
    <row r="93" spans="1:5" ht="10.5" customHeight="1">
      <c r="A93" s="108" t="s">
        <v>262</v>
      </c>
      <c r="B93" s="26">
        <f>INT(F1*2.26)</f>
        <v>146</v>
      </c>
      <c r="C93" s="3">
        <v>0</v>
      </c>
      <c r="D93" s="3">
        <v>0</v>
      </c>
      <c r="E93" s="3">
        <f>(B93*C93)+((B93+60)*D93)</f>
        <v>0</v>
      </c>
    </row>
    <row r="94" spans="1:5" ht="10.5" customHeight="1">
      <c r="A94" s="108" t="s">
        <v>190</v>
      </c>
      <c r="B94" s="26">
        <f>INT(F1*3.28)</f>
        <v>213</v>
      </c>
      <c r="C94" s="3">
        <v>0</v>
      </c>
      <c r="D94" s="3">
        <v>0</v>
      </c>
      <c r="E94" s="3">
        <f t="shared" si="4"/>
        <v>0</v>
      </c>
    </row>
    <row r="95" spans="1:5" ht="10.5" customHeight="1">
      <c r="A95" s="108" t="s">
        <v>177</v>
      </c>
      <c r="B95" s="26">
        <f>INT(F1*3.28)</f>
        <v>213</v>
      </c>
      <c r="C95" s="3">
        <v>0</v>
      </c>
      <c r="D95" s="3">
        <v>0</v>
      </c>
      <c r="E95" s="3">
        <f t="shared" si="4"/>
        <v>0</v>
      </c>
    </row>
    <row r="96" spans="1:5" ht="10.5" customHeight="1">
      <c r="A96" s="108" t="s">
        <v>225</v>
      </c>
      <c r="B96" s="26">
        <f>INT(F1*3.28)</f>
        <v>213</v>
      </c>
      <c r="C96" s="3">
        <v>0</v>
      </c>
      <c r="D96" s="3">
        <v>0</v>
      </c>
      <c r="E96" s="3">
        <f t="shared" si="4"/>
        <v>0</v>
      </c>
    </row>
    <row r="97" spans="1:5" ht="10.5" customHeight="1">
      <c r="A97" s="108" t="s">
        <v>178</v>
      </c>
      <c r="B97" s="26">
        <f>INT(F1*3.28)</f>
        <v>213</v>
      </c>
      <c r="C97" s="3">
        <v>0</v>
      </c>
      <c r="D97" s="3">
        <v>0</v>
      </c>
      <c r="E97" s="3">
        <f t="shared" si="4"/>
        <v>0</v>
      </c>
    </row>
    <row r="98" spans="1:5" ht="10.5" customHeight="1">
      <c r="A98" s="108" t="s">
        <v>331</v>
      </c>
      <c r="B98" s="26">
        <f>INT(F1*3.28)</f>
        <v>213</v>
      </c>
      <c r="C98" s="3">
        <v>0</v>
      </c>
      <c r="D98" s="3">
        <v>0</v>
      </c>
      <c r="E98" s="3">
        <f>(B98*C98)+((B98+60)*D98)</f>
        <v>0</v>
      </c>
    </row>
    <row r="99" spans="1:5" ht="10.5" customHeight="1">
      <c r="A99" s="108" t="s">
        <v>181</v>
      </c>
      <c r="B99" s="26">
        <f>INT(F1*2.66)</f>
        <v>172</v>
      </c>
      <c r="C99" s="3">
        <v>0</v>
      </c>
      <c r="D99" s="3">
        <v>0</v>
      </c>
      <c r="E99" s="3">
        <f t="shared" si="4"/>
        <v>0</v>
      </c>
    </row>
    <row r="100" spans="1:5" ht="10.5" customHeight="1">
      <c r="A100" s="108" t="s">
        <v>179</v>
      </c>
      <c r="B100" s="26">
        <f>INT(F1*2.27)</f>
        <v>147</v>
      </c>
      <c r="C100" s="3">
        <v>0</v>
      </c>
      <c r="D100" s="3">
        <v>0</v>
      </c>
      <c r="E100" s="3">
        <f t="shared" si="4"/>
        <v>0</v>
      </c>
    </row>
    <row r="101" spans="1:5" ht="10.5" customHeight="1">
      <c r="A101" s="108" t="s">
        <v>180</v>
      </c>
      <c r="B101" s="26">
        <f>INT(F1*2.8)</f>
        <v>182</v>
      </c>
      <c r="C101" s="3">
        <v>0</v>
      </c>
      <c r="D101" s="3">
        <v>0</v>
      </c>
      <c r="E101" s="3">
        <f t="shared" si="4"/>
        <v>0</v>
      </c>
    </row>
    <row r="102" spans="1:5" ht="10.5" customHeight="1">
      <c r="A102" s="108" t="s">
        <v>182</v>
      </c>
      <c r="B102" s="26">
        <f>INT(F1*3.04)</f>
        <v>197</v>
      </c>
      <c r="C102" s="3">
        <v>0</v>
      </c>
      <c r="D102" s="3">
        <v>0</v>
      </c>
      <c r="E102" s="3">
        <f t="shared" si="4"/>
        <v>0</v>
      </c>
    </row>
    <row r="103" spans="1:5" ht="10.5" customHeight="1">
      <c r="A103" s="108" t="s">
        <v>183</v>
      </c>
      <c r="B103" s="26">
        <f>INT(F1*3.04)</f>
        <v>197</v>
      </c>
      <c r="C103" s="3">
        <v>0</v>
      </c>
      <c r="D103" s="3">
        <v>0</v>
      </c>
      <c r="E103" s="3">
        <f t="shared" si="4"/>
        <v>0</v>
      </c>
    </row>
    <row r="104" spans="1:5" ht="10.5" customHeight="1">
      <c r="A104" s="108" t="s">
        <v>184</v>
      </c>
      <c r="B104" s="26">
        <f>INT(F1*3.28)</f>
        <v>213</v>
      </c>
      <c r="C104" s="3">
        <v>0</v>
      </c>
      <c r="D104" s="3">
        <v>0</v>
      </c>
      <c r="E104" s="3">
        <f>(B104*C104)+((B104+60)*D104)</f>
        <v>0</v>
      </c>
    </row>
    <row r="105" spans="1:5" ht="12" customHeight="1">
      <c r="A105" s="43" t="s">
        <v>263</v>
      </c>
      <c r="B105" s="123"/>
      <c r="C105" s="123"/>
      <c r="D105" s="123"/>
      <c r="E105" s="124"/>
    </row>
    <row r="106" spans="1:5" ht="10.5" customHeight="1">
      <c r="A106" s="108" t="s">
        <v>369</v>
      </c>
      <c r="B106" s="26">
        <f>INT(F1*4.88)</f>
        <v>317</v>
      </c>
      <c r="C106" s="3">
        <v>0</v>
      </c>
      <c r="D106" s="3">
        <v>0</v>
      </c>
      <c r="E106" s="3">
        <f>(B106*C106)+((B106+100)*D106)</f>
        <v>0</v>
      </c>
    </row>
    <row r="107" spans="1:5" ht="10.5" customHeight="1">
      <c r="A107" s="108" t="s">
        <v>186</v>
      </c>
      <c r="B107" s="26">
        <f>INT(F1*2.88)</f>
        <v>187</v>
      </c>
      <c r="C107" s="3">
        <v>0</v>
      </c>
      <c r="D107" s="3">
        <v>0</v>
      </c>
      <c r="E107" s="3">
        <f aca="true" t="shared" si="5" ref="E107:E112">(B107*C107)+((B107+80)*D107)</f>
        <v>0</v>
      </c>
    </row>
    <row r="108" spans="1:5" ht="10.5" customHeight="1">
      <c r="A108" s="108" t="s">
        <v>187</v>
      </c>
      <c r="B108" s="26">
        <f>INT(F1*2.68)</f>
        <v>174</v>
      </c>
      <c r="C108" s="3">
        <v>0</v>
      </c>
      <c r="D108" s="3">
        <v>0</v>
      </c>
      <c r="E108" s="3">
        <f t="shared" si="5"/>
        <v>0</v>
      </c>
    </row>
    <row r="109" spans="1:5" ht="10.5" customHeight="1">
      <c r="A109" s="108" t="s">
        <v>370</v>
      </c>
      <c r="B109" s="26">
        <f>INT(F1*2.95)</f>
        <v>191</v>
      </c>
      <c r="C109" s="3">
        <v>0</v>
      </c>
      <c r="D109" s="3">
        <v>0</v>
      </c>
      <c r="E109" s="3">
        <f t="shared" si="5"/>
        <v>0</v>
      </c>
    </row>
    <row r="110" spans="1:5" ht="10.5" customHeight="1">
      <c r="A110" s="108" t="s">
        <v>188</v>
      </c>
      <c r="B110" s="26">
        <f>INT(F1*3.08)</f>
        <v>200</v>
      </c>
      <c r="C110" s="3">
        <v>0</v>
      </c>
      <c r="D110" s="3">
        <v>0</v>
      </c>
      <c r="E110" s="3">
        <f t="shared" si="5"/>
        <v>0</v>
      </c>
    </row>
    <row r="111" spans="1:5" ht="10.5" customHeight="1">
      <c r="A111" s="108" t="s">
        <v>189</v>
      </c>
      <c r="B111" s="26">
        <f>INT(F1*4.42)</f>
        <v>287</v>
      </c>
      <c r="C111" s="3">
        <v>0</v>
      </c>
      <c r="D111" s="3">
        <v>0</v>
      </c>
      <c r="E111" s="3">
        <f t="shared" si="5"/>
        <v>0</v>
      </c>
    </row>
    <row r="112" spans="1:5" ht="10.5" customHeight="1">
      <c r="A112" s="108" t="s">
        <v>264</v>
      </c>
      <c r="B112" s="26">
        <f>INT(F1*2.98)</f>
        <v>193</v>
      </c>
      <c r="C112" s="3">
        <v>0</v>
      </c>
      <c r="D112" s="3">
        <v>0</v>
      </c>
      <c r="E112" s="3">
        <f t="shared" si="5"/>
        <v>0</v>
      </c>
    </row>
    <row r="113" spans="1:5" ht="13.5" customHeight="1">
      <c r="A113" s="93" t="s">
        <v>388</v>
      </c>
      <c r="B113" s="91"/>
      <c r="C113" s="91"/>
      <c r="D113" s="92"/>
      <c r="E113" s="91"/>
    </row>
    <row r="114" spans="1:5" ht="10.5" customHeight="1">
      <c r="A114" s="108" t="s">
        <v>387</v>
      </c>
      <c r="B114" s="26">
        <f>INT(F1*1.43)</f>
        <v>92</v>
      </c>
      <c r="C114" s="3">
        <v>0</v>
      </c>
      <c r="D114" s="104" t="s">
        <v>101</v>
      </c>
      <c r="E114" s="3">
        <f>(B114*C114)</f>
        <v>0</v>
      </c>
    </row>
    <row r="115" spans="1:5" ht="10.5" customHeight="1">
      <c r="A115" s="108" t="s">
        <v>385</v>
      </c>
      <c r="B115" s="26">
        <f>INT(F1*0.93)</f>
        <v>60</v>
      </c>
      <c r="C115" s="3">
        <v>0</v>
      </c>
      <c r="D115" s="104">
        <v>0</v>
      </c>
      <c r="E115" s="3">
        <f aca="true" t="shared" si="6" ref="E115:E122">(B115*C115)+((B115+30)*D115)</f>
        <v>0</v>
      </c>
    </row>
    <row r="116" spans="1:5" ht="10.5" customHeight="1">
      <c r="A116" s="108" t="s">
        <v>386</v>
      </c>
      <c r="B116" s="26">
        <f>INT(F1*0.9)</f>
        <v>58</v>
      </c>
      <c r="C116" s="3">
        <v>0</v>
      </c>
      <c r="D116" s="104">
        <v>0</v>
      </c>
      <c r="E116" s="3">
        <f t="shared" si="6"/>
        <v>0</v>
      </c>
    </row>
    <row r="117" spans="1:5" ht="10.5" customHeight="1">
      <c r="A117" s="108" t="s">
        <v>265</v>
      </c>
      <c r="B117" s="26">
        <f>INT(F1*0.52)</f>
        <v>33</v>
      </c>
      <c r="C117" s="3">
        <v>0</v>
      </c>
      <c r="D117" s="104">
        <v>0</v>
      </c>
      <c r="E117" s="3">
        <f t="shared" si="6"/>
        <v>0</v>
      </c>
    </row>
    <row r="118" spans="1:5" ht="10.5" customHeight="1">
      <c r="A118" s="108" t="s">
        <v>266</v>
      </c>
      <c r="B118" s="26">
        <f>INT(F1*0.52)</f>
        <v>33</v>
      </c>
      <c r="C118" s="3">
        <v>0</v>
      </c>
      <c r="D118" s="104">
        <v>0</v>
      </c>
      <c r="E118" s="3">
        <f t="shared" si="6"/>
        <v>0</v>
      </c>
    </row>
    <row r="119" spans="1:5" ht="10.5" customHeight="1">
      <c r="A119" s="108" t="s">
        <v>267</v>
      </c>
      <c r="B119" s="26">
        <f>INT(F1*0.71)</f>
        <v>46</v>
      </c>
      <c r="C119" s="3">
        <v>0</v>
      </c>
      <c r="D119" s="104">
        <v>0</v>
      </c>
      <c r="E119" s="3">
        <f t="shared" si="6"/>
        <v>0</v>
      </c>
    </row>
    <row r="120" spans="1:5" ht="10.5" customHeight="1">
      <c r="A120" s="108" t="s">
        <v>273</v>
      </c>
      <c r="B120" s="26">
        <f>INT(F1*0.58)</f>
        <v>37</v>
      </c>
      <c r="C120" s="3">
        <v>0</v>
      </c>
      <c r="D120" s="104">
        <v>0</v>
      </c>
      <c r="E120" s="3">
        <f t="shared" si="6"/>
        <v>0</v>
      </c>
    </row>
    <row r="121" spans="1:5" ht="10.5" customHeight="1">
      <c r="A121" s="108" t="s">
        <v>268</v>
      </c>
      <c r="B121" s="26">
        <f>INT(F1*0.71)</f>
        <v>46</v>
      </c>
      <c r="C121" s="3">
        <v>0</v>
      </c>
      <c r="D121" s="104">
        <v>0</v>
      </c>
      <c r="E121" s="3">
        <f t="shared" si="6"/>
        <v>0</v>
      </c>
    </row>
    <row r="122" spans="1:5" ht="10.5" customHeight="1">
      <c r="A122" s="108" t="s">
        <v>274</v>
      </c>
      <c r="B122" s="26">
        <f>INT(F1*0.55)</f>
        <v>35</v>
      </c>
      <c r="C122" s="3">
        <v>0</v>
      </c>
      <c r="D122" s="104">
        <v>0</v>
      </c>
      <c r="E122" s="3">
        <f t="shared" si="6"/>
        <v>0</v>
      </c>
    </row>
    <row r="123" spans="1:5" ht="10.5" customHeight="1">
      <c r="A123" s="108" t="s">
        <v>371</v>
      </c>
      <c r="B123" s="26">
        <f>INT(F1*0.7)</f>
        <v>45</v>
      </c>
      <c r="C123" s="3">
        <v>0</v>
      </c>
      <c r="D123" s="104">
        <v>0</v>
      </c>
      <c r="E123" s="3">
        <f aca="true" t="shared" si="7" ref="E123:E133">(B123*C123)+((B123+30)*D123)</f>
        <v>0</v>
      </c>
    </row>
    <row r="124" spans="1:5" ht="10.5" customHeight="1">
      <c r="A124" s="108" t="s">
        <v>372</v>
      </c>
      <c r="B124" s="26">
        <f>INT(F1*0.8)</f>
        <v>52</v>
      </c>
      <c r="C124" s="3">
        <v>0</v>
      </c>
      <c r="D124" s="104">
        <v>0</v>
      </c>
      <c r="E124" s="3">
        <f t="shared" si="7"/>
        <v>0</v>
      </c>
    </row>
    <row r="125" spans="1:5" ht="10.5" customHeight="1">
      <c r="A125" s="108" t="s">
        <v>373</v>
      </c>
      <c r="B125" s="26">
        <f>INT(F1*0.55)</f>
        <v>35</v>
      </c>
      <c r="C125" s="3">
        <v>0</v>
      </c>
      <c r="D125" s="104">
        <v>0</v>
      </c>
      <c r="E125" s="3">
        <f t="shared" si="7"/>
        <v>0</v>
      </c>
    </row>
    <row r="126" spans="1:5" ht="10.5" customHeight="1">
      <c r="A126" s="108" t="s">
        <v>374</v>
      </c>
      <c r="B126" s="26">
        <f>INT(F1*0.55)</f>
        <v>35</v>
      </c>
      <c r="C126" s="3">
        <v>0</v>
      </c>
      <c r="D126" s="104">
        <v>0</v>
      </c>
      <c r="E126" s="3">
        <f t="shared" si="7"/>
        <v>0</v>
      </c>
    </row>
    <row r="127" spans="1:5" ht="10.5" customHeight="1">
      <c r="A127" s="108" t="s">
        <v>375</v>
      </c>
      <c r="B127" s="26">
        <f>INT(F1*0.75)</f>
        <v>48</v>
      </c>
      <c r="C127" s="3">
        <v>0</v>
      </c>
      <c r="D127" s="104">
        <v>0</v>
      </c>
      <c r="E127" s="3">
        <f t="shared" si="7"/>
        <v>0</v>
      </c>
    </row>
    <row r="128" spans="1:5" ht="10.5" customHeight="1">
      <c r="A128" s="108" t="s">
        <v>376</v>
      </c>
      <c r="B128" s="26">
        <f>INT(F1*0.7)</f>
        <v>45</v>
      </c>
      <c r="C128" s="3">
        <v>0</v>
      </c>
      <c r="D128" s="104">
        <v>0</v>
      </c>
      <c r="E128" s="3">
        <f t="shared" si="7"/>
        <v>0</v>
      </c>
    </row>
    <row r="129" spans="1:5" ht="10.5" customHeight="1">
      <c r="A129" s="108" t="s">
        <v>377</v>
      </c>
      <c r="B129" s="26">
        <f>INT(F1*0.52)</f>
        <v>33</v>
      </c>
      <c r="C129" s="3">
        <v>0</v>
      </c>
      <c r="D129" s="104">
        <v>0</v>
      </c>
      <c r="E129" s="3">
        <f t="shared" si="7"/>
        <v>0</v>
      </c>
    </row>
    <row r="130" spans="1:5" ht="10.5" customHeight="1">
      <c r="A130" s="108" t="s">
        <v>378</v>
      </c>
      <c r="B130" s="26">
        <f>INT(F1*0.9)</f>
        <v>58</v>
      </c>
      <c r="C130" s="3">
        <v>0</v>
      </c>
      <c r="D130" s="104">
        <v>0</v>
      </c>
      <c r="E130" s="3">
        <f>(B130*C130)+((B130+60)*D130)</f>
        <v>0</v>
      </c>
    </row>
    <row r="131" spans="1:5" ht="10.5" customHeight="1">
      <c r="A131" s="108" t="s">
        <v>379</v>
      </c>
      <c r="B131" s="26">
        <f>INT(F1*0.94)</f>
        <v>61</v>
      </c>
      <c r="C131" s="3">
        <v>0</v>
      </c>
      <c r="D131" s="104">
        <v>0</v>
      </c>
      <c r="E131" s="3">
        <f>(B131*C131)+((B131+60)*D131)</f>
        <v>0</v>
      </c>
    </row>
    <row r="132" spans="1:7" ht="10.5" customHeight="1">
      <c r="A132" s="108" t="s">
        <v>380</v>
      </c>
      <c r="B132" s="26">
        <f>INT(F1*0.45)</f>
        <v>29</v>
      </c>
      <c r="C132" s="3">
        <v>0</v>
      </c>
      <c r="D132" s="104">
        <v>0</v>
      </c>
      <c r="E132" s="3">
        <f t="shared" si="7"/>
        <v>0</v>
      </c>
      <c r="G132" s="2" t="s">
        <v>191</v>
      </c>
    </row>
    <row r="133" spans="1:5" ht="10.5" customHeight="1">
      <c r="A133" s="108" t="s">
        <v>381</v>
      </c>
      <c r="B133" s="26">
        <f>INT(F1*0.92)</f>
        <v>59</v>
      </c>
      <c r="C133" s="3">
        <v>0</v>
      </c>
      <c r="D133" s="104">
        <v>0</v>
      </c>
      <c r="E133" s="3">
        <f t="shared" si="7"/>
        <v>0</v>
      </c>
    </row>
    <row r="134" spans="1:5" ht="10.5" customHeight="1">
      <c r="A134" s="108" t="s">
        <v>382</v>
      </c>
      <c r="B134" s="26">
        <f>INT(F1*0.4)</f>
        <v>26</v>
      </c>
      <c r="C134" s="3">
        <v>0</v>
      </c>
      <c r="D134" s="30" t="s">
        <v>101</v>
      </c>
      <c r="E134" s="3">
        <f aca="true" t="shared" si="8" ref="E134:E140">(B134*C134)</f>
        <v>0</v>
      </c>
    </row>
    <row r="135" spans="1:5" ht="10.5" customHeight="1">
      <c r="A135" s="108" t="s">
        <v>383</v>
      </c>
      <c r="B135" s="26">
        <f>INT(F1*0.4)</f>
        <v>26</v>
      </c>
      <c r="C135" s="3">
        <v>0</v>
      </c>
      <c r="D135" s="30" t="s">
        <v>101</v>
      </c>
      <c r="E135" s="3">
        <f t="shared" si="8"/>
        <v>0</v>
      </c>
    </row>
    <row r="136" spans="1:5" ht="10.5" customHeight="1">
      <c r="A136" s="108" t="s">
        <v>269</v>
      </c>
      <c r="B136" s="26">
        <f>INT(F1*1.11)</f>
        <v>72</v>
      </c>
      <c r="C136" s="3">
        <v>0</v>
      </c>
      <c r="D136" s="30" t="s">
        <v>101</v>
      </c>
      <c r="E136" s="3">
        <f t="shared" si="8"/>
        <v>0</v>
      </c>
    </row>
    <row r="137" spans="1:5" ht="10.5" customHeight="1">
      <c r="A137" s="108" t="s">
        <v>270</v>
      </c>
      <c r="B137" s="26">
        <f>INT(F1*0.98)</f>
        <v>63</v>
      </c>
      <c r="C137" s="3">
        <v>0</v>
      </c>
      <c r="D137" s="30" t="s">
        <v>101</v>
      </c>
      <c r="E137" s="3">
        <f t="shared" si="8"/>
        <v>0</v>
      </c>
    </row>
    <row r="138" spans="1:5" ht="10.5" customHeight="1">
      <c r="A138" s="108" t="s">
        <v>272</v>
      </c>
      <c r="B138" s="26">
        <f>INT(F1*0.57)</f>
        <v>37</v>
      </c>
      <c r="C138" s="3">
        <v>0</v>
      </c>
      <c r="D138" s="30" t="s">
        <v>101</v>
      </c>
      <c r="E138" s="3">
        <f t="shared" si="8"/>
        <v>0</v>
      </c>
    </row>
    <row r="139" spans="1:5" ht="10.5" customHeight="1">
      <c r="A139" s="108" t="s">
        <v>271</v>
      </c>
      <c r="B139" s="26">
        <f>INT(F1*1.18)</f>
        <v>76</v>
      </c>
      <c r="C139" s="3">
        <v>0</v>
      </c>
      <c r="D139" s="30" t="s">
        <v>101</v>
      </c>
      <c r="E139" s="3">
        <f t="shared" si="8"/>
        <v>0</v>
      </c>
    </row>
    <row r="140" spans="1:5" ht="10.5" customHeight="1">
      <c r="A140" s="108" t="s">
        <v>384</v>
      </c>
      <c r="B140" s="26">
        <f>INT(F1*0.75)</f>
        <v>48</v>
      </c>
      <c r="C140" s="3">
        <v>0</v>
      </c>
      <c r="D140" s="30" t="s">
        <v>101</v>
      </c>
      <c r="E140" s="3">
        <f t="shared" si="8"/>
        <v>0</v>
      </c>
    </row>
    <row r="141" spans="1:5" ht="11.25" customHeight="1">
      <c r="A141" s="43" t="s">
        <v>108</v>
      </c>
      <c r="B141" s="116" t="s">
        <v>100</v>
      </c>
      <c r="C141" s="116"/>
      <c r="D141" s="116"/>
      <c r="E141" s="117"/>
    </row>
    <row r="142" spans="1:5" ht="9.75" customHeight="1">
      <c r="A142" s="108" t="s">
        <v>92</v>
      </c>
      <c r="B142" s="26">
        <f>INT(F1*2.67)</f>
        <v>173</v>
      </c>
      <c r="C142" s="3">
        <v>0</v>
      </c>
      <c r="D142" s="3">
        <v>0</v>
      </c>
      <c r="E142" s="3">
        <f>(B142*C142)+((B142+60)*D142)</f>
        <v>0</v>
      </c>
    </row>
    <row r="143" spans="1:5" ht="9.75" customHeight="1">
      <c r="A143" s="108" t="s">
        <v>93</v>
      </c>
      <c r="B143" s="26">
        <f>INT(F1*2.67)</f>
        <v>173</v>
      </c>
      <c r="C143" s="3">
        <v>0</v>
      </c>
      <c r="D143" s="3">
        <v>0</v>
      </c>
      <c r="E143" s="3">
        <f>(B143*C143)+((B143+30)*D143)</f>
        <v>0</v>
      </c>
    </row>
    <row r="144" spans="1:5" ht="9.75" customHeight="1">
      <c r="A144" s="108" t="s">
        <v>230</v>
      </c>
      <c r="B144" s="26">
        <f>INT(F1*2.67)</f>
        <v>173</v>
      </c>
      <c r="C144" s="3">
        <v>0</v>
      </c>
      <c r="D144" s="3">
        <v>0</v>
      </c>
      <c r="E144" s="3">
        <f>(B144*C144)+((B144+60)*D144)</f>
        <v>0</v>
      </c>
    </row>
    <row r="145" spans="1:5" ht="9.75" customHeight="1">
      <c r="A145" s="108" t="s">
        <v>231</v>
      </c>
      <c r="B145" s="26">
        <v>162</v>
      </c>
      <c r="C145" s="3">
        <v>0</v>
      </c>
      <c r="D145" s="3">
        <v>0</v>
      </c>
      <c r="E145" s="3">
        <f>(B145*C145)+((B145+30)*D145)</f>
        <v>0</v>
      </c>
    </row>
    <row r="146" spans="1:5" ht="9.75" customHeight="1">
      <c r="A146" s="108" t="s">
        <v>94</v>
      </c>
      <c r="B146" s="26">
        <f>INT(F1*2.67)</f>
        <v>173</v>
      </c>
      <c r="C146" s="3">
        <v>0</v>
      </c>
      <c r="D146" s="3">
        <v>0</v>
      </c>
      <c r="E146" s="3">
        <f>(B146*C146)+((B146+30)*D146)</f>
        <v>0</v>
      </c>
    </row>
    <row r="147" spans="1:5" ht="9.75" customHeight="1">
      <c r="A147" s="108" t="s">
        <v>157</v>
      </c>
      <c r="B147" s="26">
        <f>INT(F1*3.33)</f>
        <v>216</v>
      </c>
      <c r="C147" s="3">
        <v>0</v>
      </c>
      <c r="D147" s="3">
        <v>0</v>
      </c>
      <c r="E147" s="3">
        <f>(B147*C147)+((B147+30)*D147)</f>
        <v>0</v>
      </c>
    </row>
    <row r="148" spans="1:5" ht="9.75" customHeight="1">
      <c r="A148" s="108" t="s">
        <v>158</v>
      </c>
      <c r="B148" s="44">
        <f>INT(F1*3.33)</f>
        <v>216</v>
      </c>
      <c r="C148" s="3">
        <v>0</v>
      </c>
      <c r="D148" s="3">
        <v>0</v>
      </c>
      <c r="E148" s="3">
        <f>(B148*C148)+((B148+30)*D148)</f>
        <v>0</v>
      </c>
    </row>
    <row r="149" spans="1:6" s="5" customFormat="1" ht="12.75" customHeight="1">
      <c r="A149" s="121" t="s">
        <v>99</v>
      </c>
      <c r="B149" s="121"/>
      <c r="C149" s="121"/>
      <c r="D149" s="121"/>
      <c r="E149" s="28">
        <f>SUM(E6:E148)</f>
        <v>0</v>
      </c>
      <c r="F149" s="4"/>
    </row>
    <row r="150" spans="1:5" ht="13.5" customHeight="1">
      <c r="A150" s="122" t="s">
        <v>41</v>
      </c>
      <c r="B150" s="122"/>
      <c r="C150" s="122"/>
      <c r="D150" s="122"/>
      <c r="E150" s="42">
        <f>E149+'Btfly.ru'!E142+'Massagerell.ru'!D8+'Сarapky.ru'!D35+'2Resnichki.ru'!F50+'Warbrushes.ru'!D22</f>
        <v>0</v>
      </c>
    </row>
    <row r="151" spans="1:5" ht="13.5" customHeight="1">
      <c r="A151" s="120" t="s">
        <v>98</v>
      </c>
      <c r="B151" s="120"/>
      <c r="C151" s="120"/>
      <c r="D151" s="120"/>
      <c r="E151" s="120"/>
    </row>
  </sheetData>
  <sheetProtection/>
  <mergeCells count="12">
    <mergeCell ref="A1:E2"/>
    <mergeCell ref="A3:A4"/>
    <mergeCell ref="B3:B4"/>
    <mergeCell ref="D3:D4"/>
    <mergeCell ref="E3:E4"/>
    <mergeCell ref="B5:E5"/>
    <mergeCell ref="C3:C4"/>
    <mergeCell ref="A151:E151"/>
    <mergeCell ref="A149:D149"/>
    <mergeCell ref="A150:D150"/>
    <mergeCell ref="B141:E141"/>
    <mergeCell ref="B105:E105"/>
  </mergeCells>
  <hyperlinks>
    <hyperlink ref="A6" r:id="rId1" display="Тёрка двухсторонняя деревянная WOODBUK     60/120    "/>
    <hyperlink ref="A7" r:id="rId2" display="Тёрка двухсторонняя деревянная WOODBUK     100/150  "/>
    <hyperlink ref="A8" r:id="rId3" display="Тёрка двухсторонняя деревянная WOODBUK     120/180   "/>
    <hyperlink ref="A9:A11" r:id="rId4" display="Тёрка двухсторонняя лакированная WOODLACK   60/120  "/>
    <hyperlink ref="A15:A18" r:id="rId5" display="Тёрка Drop 832 фиолетовая new"/>
    <hyperlink ref="A22" r:id="rId6" display="Тёрка Quadro Sun+ с вкладышем"/>
    <hyperlink ref="A23" r:id="rId7" display="Тёрка Sun+ с вкладышем"/>
    <hyperlink ref="A24" r:id="rId8" display="Тёрка Guliver Sun+ с вкладышем"/>
    <hyperlink ref="A25" r:id="rId9" display="Электротёрка для пяток Mowe  РОЗОВАЯ   "/>
    <hyperlink ref="A27" r:id="rId10" display="Пилка для ногтей и кутикулы Zero "/>
    <hyperlink ref="A31" r:id="rId11" display="Пилка-полировка для ногтей Elegant "/>
    <hyperlink ref="A32:A33" r:id="rId12" display="7-сторонняя пилка-полировка Raduga "/>
    <hyperlink ref="A34" r:id="rId13" display="4-сторонняя пилка-полировка для ногтей Propeller "/>
    <hyperlink ref="A36" r:id="rId14" display="Система трёх полировок ABC PRO 3 "/>
    <hyperlink ref="A37:A38" r:id="rId15" display="Алмазная пилка Medium 15 "/>
    <hyperlink ref="A39:A44" r:id="rId16" display="Абразивная пилка для ногтей 710 new"/>
    <hyperlink ref="A46:A50" r:id="rId17" display="Пушер 420 (топорик-лопатка) new"/>
    <hyperlink ref="A54:A56" r:id="rId18" display="Пушпи Quadro  Claw  №4 (коготь) "/>
    <hyperlink ref="A51:A53" r:id="rId19" display="Пушпи Arrow №1  (стрела) "/>
    <hyperlink ref="A106:A112" r:id="rId20" display="Кусачки 290 ( одн. пруж., Длина 17/102 мм)"/>
    <hyperlink ref="A114:A140" r:id="rId21" display="Пинцет 322 (прямой, с двумя захватами) "/>
    <hyperlink ref="A142:A148" r:id="rId22" display="Маникюрные ножницы  12028M       "/>
    <hyperlink ref="A28:A29" r:id="rId23" display="Пилка Zero Mint new"/>
    <hyperlink ref="A21" r:id="rId24" display="Срезающая тёрка ErGo new"/>
    <hyperlink ref="A107" r:id="rId25" display="Кусачки 290 ( одн. пруж., Длина 17/102 мм)"/>
    <hyperlink ref="A62" r:id="rId26" display="Ножницы 105 (для шитья и рукоделия, прямые)"/>
    <hyperlink ref="A134:A135" r:id="rId27" display="Пинцет 322 (прямой, с двумя захватами) "/>
    <hyperlink ref="A12:A14" r:id="rId28" display="Тёрка влагостойкая фиолетовая WaterProof  60/80/120 new"/>
    <hyperlink ref="A42" r:id="rId29" display="Абразивная пилка для ногтей 710 new"/>
    <hyperlink ref="A65" r:id="rId30" display="Ножницы 105 (для шитья и рукоделия, прямые)"/>
    <hyperlink ref="A83:A104" r:id="rId31" display="Кусачки 258 (спиральная  пружина. Длина 6/105мм)"/>
    <hyperlink ref="A58:A81" r:id="rId32" display="Ножницы 105 (для шитья и рукоделия, прямые)"/>
    <hyperlink ref="A117" r:id="rId33" display="Пинцет 322 (прямой, с двумя захватами) "/>
    <hyperlink ref="A115" r:id="rId34" display="Пинцет 322 (прямой, с двумя захватами) "/>
    <hyperlink ref="A116" r:id="rId35" display="Пинцет 322 (прямой, с двумя захватами) "/>
    <hyperlink ref="A114" r:id="rId36" display="Клинер ChiChi фиолетовый new"/>
    <hyperlink ref="A19" r:id="rId37" display="Тёрка для ног 1031 Violet new"/>
    <hyperlink ref="A20" r:id="rId38" display="Тёрка для ног Excavator new"/>
    <hyperlink ref="A35" r:id="rId39" display="4-сторонняя пилка-полировка для ногтей Boomerang new"/>
    <hyperlink ref="A30" r:id="rId40" display="Пилка Zero Mint new"/>
  </hyperlinks>
  <printOptions/>
  <pageMargins left="0.7" right="0.7" top="0.75" bottom="0.75" header="0.3" footer="0.3"/>
  <pageSetup horizontalDpi="600" verticalDpi="600" orientation="portrait" paperSize="9" r:id="rId42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144"/>
  <sheetViews>
    <sheetView zoomScalePageLayoutView="0" workbookViewId="0" topLeftCell="A1">
      <selection activeCell="F1" sqref="F1"/>
    </sheetView>
  </sheetViews>
  <sheetFormatPr defaultColWidth="9.140625" defaultRowHeight="9.75" customHeight="1"/>
  <cols>
    <col min="1" max="1" width="31.00390625" style="46" customWidth="1"/>
    <col min="2" max="2" width="13.140625" style="46" customWidth="1"/>
    <col min="3" max="3" width="10.8515625" style="46" customWidth="1"/>
    <col min="4" max="4" width="9.8515625" style="46" customWidth="1"/>
    <col min="5" max="5" width="13.421875" style="46" customWidth="1"/>
    <col min="6" max="6" width="15.140625" style="46" customWidth="1"/>
    <col min="7" max="16384" width="9.140625" style="46" customWidth="1"/>
  </cols>
  <sheetData>
    <row r="1" spans="1:6" ht="51" customHeight="1">
      <c r="A1" s="133" t="s">
        <v>300</v>
      </c>
      <c r="B1" s="134"/>
      <c r="C1" s="134"/>
      <c r="D1" s="134"/>
      <c r="E1" s="134"/>
      <c r="F1" s="63">
        <v>65</v>
      </c>
    </row>
    <row r="2" spans="1:6" ht="9.75" customHeight="1">
      <c r="A2" s="132" t="s">
        <v>0</v>
      </c>
      <c r="B2" s="136" t="s">
        <v>10</v>
      </c>
      <c r="C2" s="132" t="s">
        <v>19</v>
      </c>
      <c r="D2" s="132" t="s">
        <v>9</v>
      </c>
      <c r="E2" s="132" t="s">
        <v>1</v>
      </c>
      <c r="F2" s="47" t="s">
        <v>109</v>
      </c>
    </row>
    <row r="3" spans="1:6" ht="15" customHeight="1">
      <c r="A3" s="132"/>
      <c r="B3" s="137"/>
      <c r="C3" s="132"/>
      <c r="D3" s="132"/>
      <c r="E3" s="132"/>
      <c r="F3" s="66" t="s">
        <v>110</v>
      </c>
    </row>
    <row r="4" spans="1:6" s="49" customFormat="1" ht="11.25" customHeight="1">
      <c r="A4" s="48" t="s">
        <v>45</v>
      </c>
      <c r="B4" s="141" t="s">
        <v>91</v>
      </c>
      <c r="C4" s="141"/>
      <c r="D4" s="141"/>
      <c r="E4" s="142"/>
      <c r="F4" s="89" t="s">
        <v>417</v>
      </c>
    </row>
    <row r="5" spans="1:5" ht="9.75" customHeight="1">
      <c r="A5" s="108" t="s">
        <v>276</v>
      </c>
      <c r="B5" s="109">
        <f>INT(F1*3.53)</f>
        <v>229</v>
      </c>
      <c r="C5" s="61">
        <v>0</v>
      </c>
      <c r="D5" s="130"/>
      <c r="E5" s="61">
        <f>(B5*C5)</f>
        <v>0</v>
      </c>
    </row>
    <row r="6" spans="1:5" ht="9.75" customHeight="1">
      <c r="A6" s="108" t="s">
        <v>14</v>
      </c>
      <c r="B6" s="64">
        <f>INT(F1*4.5)</f>
        <v>292</v>
      </c>
      <c r="C6" s="61">
        <v>0</v>
      </c>
      <c r="D6" s="130"/>
      <c r="E6" s="61">
        <f aca="true" t="shared" si="0" ref="E6:E27">(B6*C6)</f>
        <v>0</v>
      </c>
    </row>
    <row r="7" spans="1:5" ht="9.75" customHeight="1">
      <c r="A7" s="108" t="s">
        <v>17</v>
      </c>
      <c r="B7" s="65">
        <f>INT(F1*5)</f>
        <v>325</v>
      </c>
      <c r="C7" s="61">
        <v>0</v>
      </c>
      <c r="D7" s="130"/>
      <c r="E7" s="61">
        <f t="shared" si="0"/>
        <v>0</v>
      </c>
    </row>
    <row r="8" spans="1:5" ht="9.75" customHeight="1">
      <c r="A8" s="108" t="s">
        <v>414</v>
      </c>
      <c r="B8" s="65">
        <f>INT(F1*5.7)</f>
        <v>370</v>
      </c>
      <c r="C8" s="61">
        <v>0</v>
      </c>
      <c r="D8" s="130"/>
      <c r="E8" s="61">
        <f>(B8*C8)</f>
        <v>0</v>
      </c>
    </row>
    <row r="9" spans="1:5" ht="9.75" customHeight="1">
      <c r="A9" s="108" t="s">
        <v>348</v>
      </c>
      <c r="B9" s="65">
        <f>INT(F1*7.6)</f>
        <v>494</v>
      </c>
      <c r="C9" s="61">
        <v>0</v>
      </c>
      <c r="D9" s="130"/>
      <c r="E9" s="61">
        <f>(B9*C9)</f>
        <v>0</v>
      </c>
    </row>
    <row r="10" spans="1:5" ht="9.75" customHeight="1">
      <c r="A10" s="108" t="s">
        <v>15</v>
      </c>
      <c r="B10" s="65">
        <f>INT(F1*3)</f>
        <v>195</v>
      </c>
      <c r="C10" s="61">
        <v>0</v>
      </c>
      <c r="D10" s="130"/>
      <c r="E10" s="61">
        <f t="shared" si="0"/>
        <v>0</v>
      </c>
    </row>
    <row r="11" spans="1:5" ht="9.75" customHeight="1">
      <c r="A11" s="108" t="s">
        <v>111</v>
      </c>
      <c r="B11" s="65">
        <f>INT(F1*5)</f>
        <v>325</v>
      </c>
      <c r="C11" s="61">
        <v>0</v>
      </c>
      <c r="D11" s="130"/>
      <c r="E11" s="61">
        <f t="shared" si="0"/>
        <v>0</v>
      </c>
    </row>
    <row r="12" spans="1:5" ht="9.75" customHeight="1">
      <c r="A12" s="108" t="s">
        <v>277</v>
      </c>
      <c r="B12" s="65">
        <f>INT(F1*5.55)</f>
        <v>360</v>
      </c>
      <c r="C12" s="61">
        <v>0</v>
      </c>
      <c r="D12" s="130"/>
      <c r="E12" s="61">
        <f>(B12*C12)</f>
        <v>0</v>
      </c>
    </row>
    <row r="13" spans="1:5" ht="9.75" customHeight="1">
      <c r="A13" s="108" t="s">
        <v>278</v>
      </c>
      <c r="B13" s="65">
        <f>INT(F1*3.2)</f>
        <v>208</v>
      </c>
      <c r="C13" s="61">
        <v>0</v>
      </c>
      <c r="D13" s="130"/>
      <c r="E13" s="61">
        <f>(B13*C13)</f>
        <v>0</v>
      </c>
    </row>
    <row r="14" spans="1:5" ht="9.75" customHeight="1">
      <c r="A14" s="108" t="s">
        <v>228</v>
      </c>
      <c r="B14" s="65">
        <f>INT(F1*5.12)</f>
        <v>332</v>
      </c>
      <c r="C14" s="61">
        <v>0</v>
      </c>
      <c r="D14" s="130"/>
      <c r="E14" s="61">
        <f>(B14*C14)</f>
        <v>0</v>
      </c>
    </row>
    <row r="15" spans="1:5" ht="9.75" customHeight="1">
      <c r="A15" s="108" t="s">
        <v>349</v>
      </c>
      <c r="B15" s="65">
        <f>INT(F1*3.82)</f>
        <v>248</v>
      </c>
      <c r="C15" s="61">
        <v>0</v>
      </c>
      <c r="D15" s="130"/>
      <c r="E15" s="61">
        <f>(B15*C15)</f>
        <v>0</v>
      </c>
    </row>
    <row r="16" spans="1:5" ht="9.75" customHeight="1">
      <c r="A16" s="108" t="s">
        <v>302</v>
      </c>
      <c r="B16" s="65">
        <f>INT(F1*3.8)</f>
        <v>247</v>
      </c>
      <c r="C16" s="61">
        <v>0</v>
      </c>
      <c r="D16" s="130"/>
      <c r="E16" s="61">
        <f>(B16*C16)</f>
        <v>0</v>
      </c>
    </row>
    <row r="17" spans="1:5" ht="9.75" customHeight="1">
      <c r="A17" s="108" t="s">
        <v>112</v>
      </c>
      <c r="B17" s="65">
        <f>INT(F1*3.3)</f>
        <v>214</v>
      </c>
      <c r="C17" s="61">
        <v>0</v>
      </c>
      <c r="D17" s="130"/>
      <c r="E17" s="61">
        <f t="shared" si="0"/>
        <v>0</v>
      </c>
    </row>
    <row r="18" spans="1:5" ht="9.75" customHeight="1">
      <c r="A18" s="108" t="s">
        <v>2</v>
      </c>
      <c r="B18" s="65">
        <f>INT(F1*1.625)</f>
        <v>105</v>
      </c>
      <c r="C18" s="61">
        <v>0</v>
      </c>
      <c r="D18" s="130"/>
      <c r="E18" s="61">
        <f t="shared" si="0"/>
        <v>0</v>
      </c>
    </row>
    <row r="19" spans="1:5" ht="9.75" customHeight="1">
      <c r="A19" s="108" t="s">
        <v>113</v>
      </c>
      <c r="B19" s="65">
        <f>INT(F1*2.3)</f>
        <v>149</v>
      </c>
      <c r="C19" s="61">
        <v>0</v>
      </c>
      <c r="D19" s="130"/>
      <c r="E19" s="61">
        <f t="shared" si="0"/>
        <v>0</v>
      </c>
    </row>
    <row r="20" spans="1:5" ht="9.75" customHeight="1">
      <c r="A20" s="108" t="s">
        <v>3</v>
      </c>
      <c r="B20" s="65">
        <f>INT(F1*1.58)</f>
        <v>102</v>
      </c>
      <c r="C20" s="61">
        <v>0</v>
      </c>
      <c r="D20" s="130"/>
      <c r="E20" s="61">
        <f t="shared" si="0"/>
        <v>0</v>
      </c>
    </row>
    <row r="21" spans="1:5" ht="9.75" customHeight="1">
      <c r="A21" s="108" t="s">
        <v>114</v>
      </c>
      <c r="B21" s="65">
        <f>INT(F1*1.58)</f>
        <v>102</v>
      </c>
      <c r="C21" s="61">
        <v>0</v>
      </c>
      <c r="D21" s="130"/>
      <c r="E21" s="61">
        <f t="shared" si="0"/>
        <v>0</v>
      </c>
    </row>
    <row r="22" spans="1:5" ht="9.75" customHeight="1">
      <c r="A22" s="108" t="s">
        <v>115</v>
      </c>
      <c r="B22" s="65">
        <f>INT(F1*2.75)</f>
        <v>178</v>
      </c>
      <c r="C22" s="61">
        <v>0</v>
      </c>
      <c r="D22" s="130"/>
      <c r="E22" s="61">
        <f t="shared" si="0"/>
        <v>0</v>
      </c>
    </row>
    <row r="23" spans="1:5" ht="9.75" customHeight="1">
      <c r="A23" s="108" t="s">
        <v>116</v>
      </c>
      <c r="B23" s="65">
        <f>INT(F1*1.58)</f>
        <v>102</v>
      </c>
      <c r="C23" s="61">
        <v>0</v>
      </c>
      <c r="D23" s="130"/>
      <c r="E23" s="61">
        <f t="shared" si="0"/>
        <v>0</v>
      </c>
    </row>
    <row r="24" spans="1:5" ht="9.75" customHeight="1">
      <c r="A24" s="108" t="s">
        <v>279</v>
      </c>
      <c r="B24" s="65">
        <f>INT(F1*1.8)</f>
        <v>117</v>
      </c>
      <c r="C24" s="61">
        <v>0</v>
      </c>
      <c r="D24" s="130"/>
      <c r="E24" s="61">
        <f t="shared" si="0"/>
        <v>0</v>
      </c>
    </row>
    <row r="25" spans="1:5" ht="9.75" customHeight="1">
      <c r="A25" s="108" t="s">
        <v>280</v>
      </c>
      <c r="B25" s="65">
        <f>INT(F1*1.99)</f>
        <v>129</v>
      </c>
      <c r="C25" s="61">
        <v>0</v>
      </c>
      <c r="D25" s="130"/>
      <c r="E25" s="61">
        <f>(B25*C25)</f>
        <v>0</v>
      </c>
    </row>
    <row r="26" spans="1:5" ht="9.75" customHeight="1">
      <c r="A26" s="108" t="s">
        <v>12</v>
      </c>
      <c r="B26" s="65">
        <f>INT(F1*1.375)</f>
        <v>89</v>
      </c>
      <c r="C26" s="61">
        <v>0</v>
      </c>
      <c r="D26" s="130"/>
      <c r="E26" s="61">
        <f t="shared" si="0"/>
        <v>0</v>
      </c>
    </row>
    <row r="27" spans="1:5" ht="9.75" customHeight="1">
      <c r="A27" s="108" t="s">
        <v>13</v>
      </c>
      <c r="B27" s="65">
        <f>INT(F1*1.175)</f>
        <v>76</v>
      </c>
      <c r="C27" s="61">
        <v>0</v>
      </c>
      <c r="D27" s="130"/>
      <c r="E27" s="61">
        <f t="shared" si="0"/>
        <v>0</v>
      </c>
    </row>
    <row r="28" spans="1:5" ht="9.75" customHeight="1">
      <c r="A28" s="108" t="s">
        <v>16</v>
      </c>
      <c r="B28" s="65">
        <f>INT(F1*1.675)</f>
        <v>108</v>
      </c>
      <c r="C28" s="61">
        <v>0</v>
      </c>
      <c r="D28" s="131"/>
      <c r="E28" s="61">
        <f>(B28*C28)</f>
        <v>0</v>
      </c>
    </row>
    <row r="29" spans="1:5" ht="9.75" customHeight="1">
      <c r="A29" s="108" t="s">
        <v>281</v>
      </c>
      <c r="B29" s="78">
        <f>INT(F1*4.9)</f>
        <v>318</v>
      </c>
      <c r="C29" s="61">
        <v>0</v>
      </c>
      <c r="D29" s="68" t="s">
        <v>101</v>
      </c>
      <c r="E29" s="61">
        <f>(B29*C29)</f>
        <v>0</v>
      </c>
    </row>
    <row r="30" spans="1:5" ht="11.25" customHeight="1">
      <c r="A30" s="50" t="s">
        <v>140</v>
      </c>
      <c r="B30" s="62"/>
      <c r="C30" s="62"/>
      <c r="D30" s="77"/>
      <c r="E30" s="62"/>
    </row>
    <row r="31" spans="1:5" ht="9.75" customHeight="1">
      <c r="A31" s="108" t="s">
        <v>282</v>
      </c>
      <c r="B31" s="65">
        <f>INT(F1*3.2)</f>
        <v>208</v>
      </c>
      <c r="C31" s="61">
        <v>0</v>
      </c>
      <c r="D31" s="68" t="s">
        <v>101</v>
      </c>
      <c r="E31" s="61">
        <f aca="true" t="shared" si="1" ref="E31:E36">(B31*C31)</f>
        <v>0</v>
      </c>
    </row>
    <row r="32" spans="1:5" ht="9.75" customHeight="1">
      <c r="A32" s="108" t="s">
        <v>283</v>
      </c>
      <c r="B32" s="65">
        <f>INT(F1*2.3)</f>
        <v>149</v>
      </c>
      <c r="C32" s="61">
        <v>0</v>
      </c>
      <c r="D32" s="68" t="s">
        <v>101</v>
      </c>
      <c r="E32" s="61">
        <f t="shared" si="1"/>
        <v>0</v>
      </c>
    </row>
    <row r="33" spans="1:5" ht="9.75" customHeight="1">
      <c r="A33" s="108" t="s">
        <v>284</v>
      </c>
      <c r="B33" s="65">
        <f>INT(F1*0.6)</f>
        <v>39</v>
      </c>
      <c r="C33" s="61">
        <v>0</v>
      </c>
      <c r="D33" s="68" t="s">
        <v>101</v>
      </c>
      <c r="E33" s="61">
        <f t="shared" si="1"/>
        <v>0</v>
      </c>
    </row>
    <row r="34" spans="1:5" ht="9.75" customHeight="1">
      <c r="A34" s="108" t="s">
        <v>285</v>
      </c>
      <c r="B34" s="65">
        <f>INT(F1*0.64)</f>
        <v>41</v>
      </c>
      <c r="C34" s="61">
        <v>0</v>
      </c>
      <c r="D34" s="68" t="s">
        <v>101</v>
      </c>
      <c r="E34" s="61">
        <f t="shared" si="1"/>
        <v>0</v>
      </c>
    </row>
    <row r="35" spans="1:5" ht="9.75" customHeight="1">
      <c r="A35" s="108" t="s">
        <v>286</v>
      </c>
      <c r="B35" s="65">
        <f>INT(F1*0.76)</f>
        <v>49</v>
      </c>
      <c r="C35" s="61">
        <v>0</v>
      </c>
      <c r="D35" s="68" t="s">
        <v>101</v>
      </c>
      <c r="E35" s="61">
        <f t="shared" si="1"/>
        <v>0</v>
      </c>
    </row>
    <row r="36" spans="1:5" ht="9.75" customHeight="1">
      <c r="A36" s="108" t="s">
        <v>287</v>
      </c>
      <c r="B36" s="65">
        <f>INT(F1*0.2)</f>
        <v>13</v>
      </c>
      <c r="C36" s="61">
        <v>0</v>
      </c>
      <c r="D36" s="68" t="s">
        <v>101</v>
      </c>
      <c r="E36" s="61">
        <f t="shared" si="1"/>
        <v>0</v>
      </c>
    </row>
    <row r="37" spans="1:5" ht="9.75" customHeight="1">
      <c r="A37" s="53" t="s">
        <v>192</v>
      </c>
      <c r="B37" s="62"/>
      <c r="C37" s="62"/>
      <c r="D37" s="95"/>
      <c r="E37" s="62"/>
    </row>
    <row r="38" spans="1:5" s="98" customFormat="1" ht="11.25" customHeight="1">
      <c r="A38" s="108" t="s">
        <v>193</v>
      </c>
      <c r="B38" s="101">
        <f>INT(F1*6.35)</f>
        <v>412</v>
      </c>
      <c r="C38" s="97">
        <v>0</v>
      </c>
      <c r="D38" s="83">
        <v>0</v>
      </c>
      <c r="E38" s="61">
        <f>(B38*C38)+((B38+90)*D38)</f>
        <v>0</v>
      </c>
    </row>
    <row r="39" spans="1:5" s="98" customFormat="1" ht="11.25" customHeight="1">
      <c r="A39" s="108" t="s">
        <v>194</v>
      </c>
      <c r="B39" s="101">
        <f>INT(F1*6.35)</f>
        <v>412</v>
      </c>
      <c r="C39" s="97">
        <v>0</v>
      </c>
      <c r="D39" s="83">
        <v>0</v>
      </c>
      <c r="E39" s="61">
        <f aca="true" t="shared" si="2" ref="E39:E44">(B39*C39)+((B39+90)*D39)</f>
        <v>0</v>
      </c>
    </row>
    <row r="40" spans="1:5" s="98" customFormat="1" ht="10.5" customHeight="1">
      <c r="A40" s="108" t="s">
        <v>195</v>
      </c>
      <c r="B40" s="101">
        <f>INT(F1*6.35)</f>
        <v>412</v>
      </c>
      <c r="C40" s="97">
        <v>0</v>
      </c>
      <c r="D40" s="83">
        <v>0</v>
      </c>
      <c r="E40" s="61">
        <f t="shared" si="2"/>
        <v>0</v>
      </c>
    </row>
    <row r="41" spans="1:5" s="98" customFormat="1" ht="11.25" customHeight="1">
      <c r="A41" s="108" t="s">
        <v>196</v>
      </c>
      <c r="B41" s="101">
        <f>INT(F1*7.31)</f>
        <v>475</v>
      </c>
      <c r="C41" s="97">
        <v>0</v>
      </c>
      <c r="D41" s="83">
        <v>0</v>
      </c>
      <c r="E41" s="61">
        <f t="shared" si="2"/>
        <v>0</v>
      </c>
    </row>
    <row r="42" spans="1:5" s="98" customFormat="1" ht="11.25" customHeight="1">
      <c r="A42" s="108" t="s">
        <v>197</v>
      </c>
      <c r="B42" s="101">
        <f>INT(F1*7.47)</f>
        <v>485</v>
      </c>
      <c r="C42" s="97">
        <v>0</v>
      </c>
      <c r="D42" s="83">
        <v>0</v>
      </c>
      <c r="E42" s="61">
        <f t="shared" si="2"/>
        <v>0</v>
      </c>
    </row>
    <row r="43" spans="1:5" s="98" customFormat="1" ht="10.5" customHeight="1">
      <c r="A43" s="108" t="s">
        <v>198</v>
      </c>
      <c r="B43" s="101">
        <f>INT(F1*7.47)</f>
        <v>485</v>
      </c>
      <c r="C43" s="97">
        <v>0</v>
      </c>
      <c r="D43" s="83">
        <v>0</v>
      </c>
      <c r="E43" s="61">
        <f t="shared" si="2"/>
        <v>0</v>
      </c>
    </row>
    <row r="44" spans="1:5" s="98" customFormat="1" ht="11.25" customHeight="1">
      <c r="A44" s="108" t="s">
        <v>199</v>
      </c>
      <c r="B44" s="101">
        <f>INT(F1*7.31)</f>
        <v>475</v>
      </c>
      <c r="C44" s="97">
        <v>0</v>
      </c>
      <c r="D44" s="83">
        <v>0</v>
      </c>
      <c r="E44" s="61">
        <f t="shared" si="2"/>
        <v>0</v>
      </c>
    </row>
    <row r="45" spans="1:5" ht="11.25" customHeight="1">
      <c r="A45" s="50" t="s">
        <v>224</v>
      </c>
      <c r="B45" s="51"/>
      <c r="C45" s="62"/>
      <c r="D45" s="52"/>
      <c r="E45" s="62"/>
    </row>
    <row r="46" spans="1:5" ht="11.25" customHeight="1">
      <c r="A46" s="108" t="s">
        <v>117</v>
      </c>
      <c r="B46" s="67">
        <f>INT(F1*11.7)</f>
        <v>760</v>
      </c>
      <c r="C46" s="82">
        <v>0</v>
      </c>
      <c r="D46" s="88">
        <v>0</v>
      </c>
      <c r="E46" s="82">
        <f>(B46*C46)+((B46+120)*D46)</f>
        <v>0</v>
      </c>
    </row>
    <row r="47" spans="1:5" ht="11.25" customHeight="1">
      <c r="A47" s="108" t="s">
        <v>118</v>
      </c>
      <c r="B47" s="67">
        <f>INT(F1*11.94)</f>
        <v>776</v>
      </c>
      <c r="C47" s="82">
        <v>0</v>
      </c>
      <c r="D47" s="88">
        <v>0</v>
      </c>
      <c r="E47" s="82">
        <f>((B47*C47)+((B47+170)*D47))</f>
        <v>0</v>
      </c>
    </row>
    <row r="48" spans="1:5" ht="11.25" customHeight="1">
      <c r="A48" s="108" t="s">
        <v>119</v>
      </c>
      <c r="B48" s="67">
        <f>INT(F1*11.3)</f>
        <v>734</v>
      </c>
      <c r="C48" s="82">
        <v>0</v>
      </c>
      <c r="D48" s="88">
        <v>0</v>
      </c>
      <c r="E48" s="82">
        <f>(B48*C48)+((B48+120)*D48)</f>
        <v>0</v>
      </c>
    </row>
    <row r="49" spans="1:5" ht="11.25" customHeight="1">
      <c r="A49" s="108" t="s">
        <v>120</v>
      </c>
      <c r="B49" s="67">
        <f>INT(F1*12.36)</f>
        <v>803</v>
      </c>
      <c r="C49" s="82">
        <v>0</v>
      </c>
      <c r="D49" s="88">
        <v>0</v>
      </c>
      <c r="E49" s="82">
        <f>(B49*C49)+((B49+120)*D49)</f>
        <v>0</v>
      </c>
    </row>
    <row r="50" spans="1:5" ht="11.25" customHeight="1">
      <c r="A50" s="108" t="s">
        <v>121</v>
      </c>
      <c r="B50" s="67">
        <f>INT(F1*11.3)</f>
        <v>734</v>
      </c>
      <c r="C50" s="82">
        <v>0</v>
      </c>
      <c r="D50" s="88">
        <v>0</v>
      </c>
      <c r="E50" s="82">
        <f>(B50*C50)+((B50+60)*D50)</f>
        <v>0</v>
      </c>
    </row>
    <row r="51" spans="1:5" ht="11.25" customHeight="1">
      <c r="A51" s="108" t="s">
        <v>122</v>
      </c>
      <c r="B51" s="67">
        <f>INT(F1*11.36)</f>
        <v>738</v>
      </c>
      <c r="C51" s="82">
        <v>0</v>
      </c>
      <c r="D51" s="88">
        <v>0</v>
      </c>
      <c r="E51" s="82">
        <f>(B51*C51)+((B51+30)*D51)</f>
        <v>0</v>
      </c>
    </row>
    <row r="52" spans="1:5" ht="11.25" customHeight="1">
      <c r="A52" s="108" t="s">
        <v>123</v>
      </c>
      <c r="B52" s="67">
        <f>INT(F1*24.19)</f>
        <v>1572</v>
      </c>
      <c r="C52" s="82">
        <v>0</v>
      </c>
      <c r="D52" s="88">
        <v>0</v>
      </c>
      <c r="E52" s="82">
        <f>(B52*C52)+((B52+150)*D52)</f>
        <v>0</v>
      </c>
    </row>
    <row r="53" spans="1:5" ht="11.25" customHeight="1">
      <c r="A53" s="108" t="s">
        <v>124</v>
      </c>
      <c r="B53" s="67">
        <f>INT(F1*26.3)</f>
        <v>1709</v>
      </c>
      <c r="C53" s="82">
        <v>0</v>
      </c>
      <c r="D53" s="88">
        <v>0</v>
      </c>
      <c r="E53" s="82">
        <f>(B53*C53)+((B53+200)*D53)</f>
        <v>0</v>
      </c>
    </row>
    <row r="54" spans="1:5" ht="11.25" customHeight="1">
      <c r="A54" s="108" t="s">
        <v>125</v>
      </c>
      <c r="B54" s="67">
        <f>INT(F1*22.3)</f>
        <v>1449</v>
      </c>
      <c r="C54" s="82">
        <v>0</v>
      </c>
      <c r="D54" s="88">
        <v>0</v>
      </c>
      <c r="E54" s="82">
        <f>(B54*C54)+((B54+180)*D54)</f>
        <v>0</v>
      </c>
    </row>
    <row r="55" spans="1:5" ht="11.25" customHeight="1">
      <c r="A55" s="108" t="s">
        <v>126</v>
      </c>
      <c r="B55" s="67">
        <f>INT(F1*22.07)</f>
        <v>1434</v>
      </c>
      <c r="C55" s="82">
        <v>0</v>
      </c>
      <c r="D55" s="88">
        <v>0</v>
      </c>
      <c r="E55" s="82">
        <f>(B55*C55)+((B55+290)*D55)</f>
        <v>0</v>
      </c>
    </row>
    <row r="56" spans="1:5" ht="11.25" customHeight="1">
      <c r="A56" s="108" t="s">
        <v>127</v>
      </c>
      <c r="B56" s="67">
        <f>INT(F1*23.56)</f>
        <v>1531</v>
      </c>
      <c r="C56" s="82">
        <v>0</v>
      </c>
      <c r="D56" s="88">
        <v>0</v>
      </c>
      <c r="E56" s="82">
        <f>(B56*C56)+((B56+150)*D56)</f>
        <v>0</v>
      </c>
    </row>
    <row r="57" spans="1:5" ht="11.25" customHeight="1">
      <c r="A57" s="108" t="s">
        <v>128</v>
      </c>
      <c r="B57" s="67">
        <f>INT(F1*22.6)</f>
        <v>1469</v>
      </c>
      <c r="C57" s="82">
        <v>0</v>
      </c>
      <c r="D57" s="88">
        <v>0</v>
      </c>
      <c r="E57" s="82">
        <f>(B57*C57)+((B57+200)*D57)</f>
        <v>0</v>
      </c>
    </row>
    <row r="58" spans="1:5" ht="9.75" customHeight="1">
      <c r="A58" s="53" t="s">
        <v>107</v>
      </c>
      <c r="B58" s="54"/>
      <c r="C58" s="86"/>
      <c r="D58" s="86"/>
      <c r="E58" s="87"/>
    </row>
    <row r="59" spans="1:5" ht="9.75" customHeight="1">
      <c r="A59" s="108" t="s">
        <v>129</v>
      </c>
      <c r="B59" s="67">
        <f>INT(F1*7.9)</f>
        <v>513</v>
      </c>
      <c r="C59" s="83">
        <v>0</v>
      </c>
      <c r="D59" s="88">
        <v>0</v>
      </c>
      <c r="E59" s="82">
        <f>(B59*C59)+((B59)*D59)</f>
        <v>0</v>
      </c>
    </row>
    <row r="60" spans="1:5" ht="9.75" customHeight="1">
      <c r="A60" s="108" t="s">
        <v>130</v>
      </c>
      <c r="B60" s="67">
        <f>INT(F1*9.85)</f>
        <v>640</v>
      </c>
      <c r="C60" s="83">
        <v>0</v>
      </c>
      <c r="D60" s="88">
        <v>0</v>
      </c>
      <c r="E60" s="82">
        <f>(B60*C60)+((B60+60)*D60)</f>
        <v>0</v>
      </c>
    </row>
    <row r="61" spans="1:5" ht="9.75" customHeight="1">
      <c r="A61" s="108" t="s">
        <v>131</v>
      </c>
      <c r="B61" s="67">
        <f>INT(F1*9.85)</f>
        <v>640</v>
      </c>
      <c r="C61" s="83">
        <v>0</v>
      </c>
      <c r="D61" s="88">
        <v>0</v>
      </c>
      <c r="E61" s="82">
        <f>(B61*C61)+((B61+30)*D61)</f>
        <v>0</v>
      </c>
    </row>
    <row r="62" spans="1:5" ht="9.75" customHeight="1">
      <c r="A62" s="108" t="s">
        <v>132</v>
      </c>
      <c r="B62" s="67">
        <f>INT(F1*12.1)</f>
        <v>786</v>
      </c>
      <c r="C62" s="83">
        <v>0</v>
      </c>
      <c r="D62" s="88">
        <v>0</v>
      </c>
      <c r="E62" s="82">
        <f>(B62*C62)+((B62+60)*D62)</f>
        <v>0</v>
      </c>
    </row>
    <row r="63" spans="1:5" ht="9.75" customHeight="1">
      <c r="A63" s="108" t="s">
        <v>133</v>
      </c>
      <c r="B63" s="67">
        <f>INT(F1*14.3)</f>
        <v>929</v>
      </c>
      <c r="C63" s="83">
        <v>0</v>
      </c>
      <c r="D63" s="88">
        <v>0</v>
      </c>
      <c r="E63" s="82">
        <f>(B63*C63)+((B63+90)*D63)</f>
        <v>0</v>
      </c>
    </row>
    <row r="64" spans="1:5" ht="9.75" customHeight="1">
      <c r="A64" s="108" t="s">
        <v>134</v>
      </c>
      <c r="B64" s="67">
        <f>INT(F1*19.2)</f>
        <v>1248</v>
      </c>
      <c r="C64" s="83">
        <v>0</v>
      </c>
      <c r="D64" s="88">
        <v>0</v>
      </c>
      <c r="E64" s="82">
        <f>(B64*C64)+((B64+60)*D64)</f>
        <v>0</v>
      </c>
    </row>
    <row r="65" spans="1:5" ht="9.75" customHeight="1">
      <c r="A65" s="108" t="s">
        <v>135</v>
      </c>
      <c r="B65" s="67">
        <f>INT(F1*20.8)</f>
        <v>1352</v>
      </c>
      <c r="C65" s="83">
        <v>0</v>
      </c>
      <c r="D65" s="88">
        <v>0</v>
      </c>
      <c r="E65" s="82">
        <f>(B65*C65)+((B65+60)*D65)</f>
        <v>0</v>
      </c>
    </row>
    <row r="66" spans="1:5" ht="9.75" customHeight="1">
      <c r="A66" s="108" t="s">
        <v>136</v>
      </c>
      <c r="B66" s="67">
        <f>INT(F1*25.8)</f>
        <v>1677</v>
      </c>
      <c r="C66" s="83">
        <v>0</v>
      </c>
      <c r="D66" s="88">
        <v>0</v>
      </c>
      <c r="E66" s="82">
        <f>(B66*C66)+((B66+90)*D66)</f>
        <v>0</v>
      </c>
    </row>
    <row r="67" spans="1:9" ht="11.25" customHeight="1">
      <c r="A67" s="138" t="s">
        <v>156</v>
      </c>
      <c r="B67" s="139"/>
      <c r="C67" s="139"/>
      <c r="D67" s="139"/>
      <c r="E67" s="140"/>
      <c r="I67" s="85"/>
    </row>
    <row r="68" spans="1:11" ht="10.5" customHeight="1">
      <c r="A68" s="108" t="s">
        <v>333</v>
      </c>
      <c r="B68" s="110">
        <f>INT(F1*4.45)</f>
        <v>289</v>
      </c>
      <c r="C68" s="61">
        <v>0</v>
      </c>
      <c r="D68" s="68" t="s">
        <v>101</v>
      </c>
      <c r="E68" s="61">
        <f>(B68*C68)</f>
        <v>0</v>
      </c>
      <c r="K68" s="46" t="s">
        <v>191</v>
      </c>
    </row>
    <row r="69" spans="1:5" ht="10.5" customHeight="1">
      <c r="A69" s="108" t="s">
        <v>334</v>
      </c>
      <c r="B69" s="110">
        <f>INT(F1*4.45)</f>
        <v>289</v>
      </c>
      <c r="C69" s="61">
        <v>0</v>
      </c>
      <c r="D69" s="68" t="s">
        <v>101</v>
      </c>
      <c r="E69" s="61">
        <f>(B69*C69)</f>
        <v>0</v>
      </c>
    </row>
    <row r="70" spans="1:5" ht="10.5" customHeight="1">
      <c r="A70" s="108" t="s">
        <v>289</v>
      </c>
      <c r="B70" s="110">
        <f>INT(F1*3.98)</f>
        <v>258</v>
      </c>
      <c r="C70" s="61">
        <v>0</v>
      </c>
      <c r="D70" s="68" t="s">
        <v>101</v>
      </c>
      <c r="E70" s="61">
        <f>(B70*C70)</f>
        <v>0</v>
      </c>
    </row>
    <row r="71" spans="1:5" ht="10.5" customHeight="1">
      <c r="A71" s="108" t="s">
        <v>290</v>
      </c>
      <c r="B71" s="110">
        <f>INT(F1*1.35)</f>
        <v>87</v>
      </c>
      <c r="C71" s="61">
        <v>0</v>
      </c>
      <c r="D71" s="68" t="s">
        <v>101</v>
      </c>
      <c r="E71" s="61">
        <f>(B71*C71)</f>
        <v>0</v>
      </c>
    </row>
    <row r="72" spans="1:5" ht="10.5" customHeight="1">
      <c r="A72" s="50" t="s">
        <v>154</v>
      </c>
      <c r="B72" s="80"/>
      <c r="C72" s="80"/>
      <c r="D72" s="81"/>
      <c r="E72" s="80"/>
    </row>
    <row r="73" spans="1:5" ht="10.5" customHeight="1">
      <c r="A73" s="108" t="s">
        <v>292</v>
      </c>
      <c r="B73" s="67">
        <f>INT(F1*1.5)</f>
        <v>97</v>
      </c>
      <c r="C73" s="61">
        <v>0</v>
      </c>
      <c r="D73" s="82">
        <v>0</v>
      </c>
      <c r="E73" s="61">
        <f>(B73*C73)+((B73+60)*D73)</f>
        <v>0</v>
      </c>
    </row>
    <row r="74" spans="1:5" ht="10.5" customHeight="1">
      <c r="A74" s="108" t="s">
        <v>293</v>
      </c>
      <c r="B74" s="67">
        <f>INT(F1*1.5)</f>
        <v>97</v>
      </c>
      <c r="C74" s="61">
        <v>0</v>
      </c>
      <c r="D74" s="83">
        <v>0</v>
      </c>
      <c r="E74" s="61">
        <f>(B74*C74)+((B74+60)*D74)</f>
        <v>0</v>
      </c>
    </row>
    <row r="75" spans="1:5" ht="10.5" customHeight="1">
      <c r="A75" s="108" t="s">
        <v>409</v>
      </c>
      <c r="B75" s="67">
        <f>INT(F1*4.2)</f>
        <v>273</v>
      </c>
      <c r="C75" s="61">
        <v>0</v>
      </c>
      <c r="D75" s="83">
        <v>0</v>
      </c>
      <c r="E75" s="61">
        <f>(B75*C75)+((B75+60)*D75)</f>
        <v>0</v>
      </c>
    </row>
    <row r="76" spans="1:5" ht="10.5" customHeight="1">
      <c r="A76" s="108" t="s">
        <v>410</v>
      </c>
      <c r="B76" s="67">
        <f>INT(F1*4.62)</f>
        <v>300</v>
      </c>
      <c r="C76" s="61">
        <v>0</v>
      </c>
      <c r="D76" s="83">
        <v>0</v>
      </c>
      <c r="E76" s="61">
        <f>(B76*C76)+((B76+80)*D76)</f>
        <v>0</v>
      </c>
    </row>
    <row r="77" spans="1:5" ht="10.5" customHeight="1">
      <c r="A77" s="108" t="s">
        <v>411</v>
      </c>
      <c r="B77" s="67">
        <f>INT(F1*6.4)</f>
        <v>416</v>
      </c>
      <c r="C77" s="61">
        <v>0</v>
      </c>
      <c r="D77" s="83">
        <v>0</v>
      </c>
      <c r="E77" s="61">
        <f>(B77*C77)+((B77+80)*D77)</f>
        <v>0</v>
      </c>
    </row>
    <row r="78" spans="1:5" ht="10.5" customHeight="1">
      <c r="A78" s="108" t="s">
        <v>294</v>
      </c>
      <c r="B78" s="67">
        <f>INT(F1*4)</f>
        <v>260</v>
      </c>
      <c r="C78" s="61">
        <v>0</v>
      </c>
      <c r="D78" s="83">
        <v>0</v>
      </c>
      <c r="E78" s="61">
        <f>(B78*C78)+((B78+60)*D78)</f>
        <v>0</v>
      </c>
    </row>
    <row r="79" spans="1:5" ht="10.5" customHeight="1">
      <c r="A79" s="108" t="s">
        <v>291</v>
      </c>
      <c r="B79" s="67">
        <f>INT(F1*4)</f>
        <v>260</v>
      </c>
      <c r="C79" s="61">
        <v>0</v>
      </c>
      <c r="D79" s="83">
        <v>0</v>
      </c>
      <c r="E79" s="61">
        <f>(B79*C79)+((B79+60)*D79)</f>
        <v>0</v>
      </c>
    </row>
    <row r="80" spans="1:5" ht="10.5" customHeight="1">
      <c r="A80" s="108" t="s">
        <v>295</v>
      </c>
      <c r="B80" s="67">
        <f>INT(F1*6)</f>
        <v>390</v>
      </c>
      <c r="C80" s="61">
        <v>0</v>
      </c>
      <c r="D80" s="83">
        <v>0</v>
      </c>
      <c r="E80" s="61">
        <f>(B80*C80)+((B80+80)*D80)</f>
        <v>0</v>
      </c>
    </row>
    <row r="81" spans="1:5" ht="10.5" customHeight="1">
      <c r="A81" s="50" t="s">
        <v>155</v>
      </c>
      <c r="B81" s="67"/>
      <c r="C81" s="80"/>
      <c r="D81" s="84"/>
      <c r="E81" s="80"/>
    </row>
    <row r="82" spans="1:5" ht="10.5" customHeight="1">
      <c r="A82" s="108" t="s">
        <v>296</v>
      </c>
      <c r="B82" s="67">
        <f>INT(F1*7.12)</f>
        <v>462</v>
      </c>
      <c r="C82" s="61">
        <v>0</v>
      </c>
      <c r="D82" s="83">
        <v>0</v>
      </c>
      <c r="E82" s="61">
        <f>(B82*C82)+((B82+60)*D82)</f>
        <v>0</v>
      </c>
    </row>
    <row r="83" spans="1:5" ht="10.5" customHeight="1">
      <c r="A83" s="108" t="s">
        <v>297</v>
      </c>
      <c r="B83" s="67">
        <f>INT(F1*7.12)</f>
        <v>462</v>
      </c>
      <c r="C83" s="61">
        <v>0</v>
      </c>
      <c r="D83" s="83">
        <v>0</v>
      </c>
      <c r="E83" s="61">
        <f>(B83*C83)+((B83+60)*D83)</f>
        <v>0</v>
      </c>
    </row>
    <row r="84" spans="1:5" ht="10.5" customHeight="1">
      <c r="A84" s="53" t="s">
        <v>327</v>
      </c>
      <c r="B84" s="62"/>
      <c r="C84" s="62"/>
      <c r="D84" s="99"/>
      <c r="E84" s="62"/>
    </row>
    <row r="85" spans="1:5" ht="10.5" customHeight="1">
      <c r="A85" s="108" t="s">
        <v>229</v>
      </c>
      <c r="B85" s="102">
        <f>INT(F1*3.78)</f>
        <v>245</v>
      </c>
      <c r="C85" s="61">
        <v>0</v>
      </c>
      <c r="D85" s="83">
        <v>0</v>
      </c>
      <c r="E85" s="61">
        <f>(B85*C85)+((B85+60)*D85)</f>
        <v>0</v>
      </c>
    </row>
    <row r="86" spans="1:5" ht="10.5" customHeight="1">
      <c r="A86" s="108" t="s">
        <v>210</v>
      </c>
      <c r="B86" s="101">
        <f>INT(F1*1.55)</f>
        <v>100</v>
      </c>
      <c r="C86" s="97">
        <v>0</v>
      </c>
      <c r="D86" s="83">
        <v>0</v>
      </c>
      <c r="E86" s="61">
        <f>(B86*C86)+((B86+30)*D86)</f>
        <v>0</v>
      </c>
    </row>
    <row r="87" spans="1:5" ht="10.5" customHeight="1">
      <c r="A87" s="108" t="s">
        <v>419</v>
      </c>
      <c r="B87" s="101">
        <f>INT(F1*1.7)</f>
        <v>110</v>
      </c>
      <c r="C87" s="97">
        <v>0</v>
      </c>
      <c r="D87" s="83">
        <v>0</v>
      </c>
      <c r="E87" s="61">
        <f>(B87*C87)+((B87+30)*D87)</f>
        <v>0</v>
      </c>
    </row>
    <row r="88" spans="1:5" ht="10.5" customHeight="1">
      <c r="A88" s="108" t="s">
        <v>412</v>
      </c>
      <c r="B88" s="101">
        <f>INT(F1*1.7)</f>
        <v>110</v>
      </c>
      <c r="C88" s="97">
        <v>0</v>
      </c>
      <c r="D88" s="83">
        <v>0</v>
      </c>
      <c r="E88" s="61">
        <f>(B88*C88)+((B88+30)*D88)</f>
        <v>0</v>
      </c>
    </row>
    <row r="89" spans="1:5" ht="10.5" customHeight="1">
      <c r="A89" s="108" t="s">
        <v>226</v>
      </c>
      <c r="B89" s="101">
        <f>INT(F1*1.55)</f>
        <v>100</v>
      </c>
      <c r="C89" s="97">
        <v>0</v>
      </c>
      <c r="D89" s="83">
        <v>0</v>
      </c>
      <c r="E89" s="61">
        <f>(B89*C89)+((B89+60)*D89)</f>
        <v>0</v>
      </c>
    </row>
    <row r="90" spans="1:5" ht="10.5" customHeight="1">
      <c r="A90" s="108" t="s">
        <v>330</v>
      </c>
      <c r="B90" s="101">
        <f>INT(F1*1.73)</f>
        <v>112</v>
      </c>
      <c r="C90" s="97">
        <v>0</v>
      </c>
      <c r="D90" s="83">
        <v>0</v>
      </c>
      <c r="E90" s="61">
        <f>(B90*C90)+((B90+30)*D90)</f>
        <v>0</v>
      </c>
    </row>
    <row r="91" spans="1:5" ht="10.5" customHeight="1">
      <c r="A91" s="108" t="s">
        <v>227</v>
      </c>
      <c r="B91" s="101">
        <f>INT(F1*1.65)</f>
        <v>107</v>
      </c>
      <c r="C91" s="97">
        <v>0</v>
      </c>
      <c r="D91" s="83">
        <v>0</v>
      </c>
      <c r="E91" s="61">
        <f>(B91*C91)+((B91+30)*D91)</f>
        <v>0</v>
      </c>
    </row>
    <row r="92" spans="1:5" ht="10.5" customHeight="1">
      <c r="A92" s="108" t="s">
        <v>326</v>
      </c>
      <c r="B92" s="102">
        <f>INT(F1*1.6)</f>
        <v>104</v>
      </c>
      <c r="C92" s="61">
        <v>0</v>
      </c>
      <c r="D92" s="83">
        <v>0</v>
      </c>
      <c r="E92" s="61">
        <f>(B92*C92)+((B92+60)*D92)</f>
        <v>0</v>
      </c>
    </row>
    <row r="93" spans="1:5" ht="10.5" customHeight="1">
      <c r="A93" s="108" t="s">
        <v>325</v>
      </c>
      <c r="B93" s="101">
        <f>INT(F1*1.55)</f>
        <v>100</v>
      </c>
      <c r="C93" s="97">
        <v>0</v>
      </c>
      <c r="D93" s="83">
        <v>0</v>
      </c>
      <c r="E93" s="61">
        <f>(B93*C93)+((B93+30)*D93)</f>
        <v>0</v>
      </c>
    </row>
    <row r="94" spans="1:5" ht="10.5" customHeight="1">
      <c r="A94" s="53" t="s">
        <v>213</v>
      </c>
      <c r="B94" s="100"/>
      <c r="C94" s="96"/>
      <c r="D94" s="99"/>
      <c r="E94" s="96"/>
    </row>
    <row r="95" spans="1:5" ht="10.5" customHeight="1">
      <c r="A95" s="108" t="s">
        <v>212</v>
      </c>
      <c r="B95" s="101">
        <f>INT(F1*3.5)</f>
        <v>227</v>
      </c>
      <c r="C95" s="97">
        <v>0</v>
      </c>
      <c r="D95" s="83">
        <v>0</v>
      </c>
      <c r="E95" s="61">
        <f>(B95*C95)+((B95+60)*D95)</f>
        <v>0</v>
      </c>
    </row>
    <row r="96" spans="1:5" ht="10.5" customHeight="1">
      <c r="A96" s="108" t="s">
        <v>214</v>
      </c>
      <c r="B96" s="101">
        <f>INT(F1*3.66)</f>
        <v>237</v>
      </c>
      <c r="C96" s="97">
        <v>0</v>
      </c>
      <c r="D96" s="83">
        <v>0</v>
      </c>
      <c r="E96" s="61">
        <f>(B96*C96)+((B96+60)*D96)</f>
        <v>0</v>
      </c>
    </row>
    <row r="97" spans="1:5" ht="10.5" customHeight="1">
      <c r="A97" s="108" t="s">
        <v>416</v>
      </c>
      <c r="B97" s="101">
        <f>INT(F1*3.75)</f>
        <v>243</v>
      </c>
      <c r="C97" s="97">
        <v>0</v>
      </c>
      <c r="D97" s="83">
        <v>0</v>
      </c>
      <c r="E97" s="61">
        <f>(B97*C97)+((B97+60)*D97)</f>
        <v>0</v>
      </c>
    </row>
    <row r="98" spans="1:5" ht="10.5" customHeight="1">
      <c r="A98" s="108" t="s">
        <v>215</v>
      </c>
      <c r="B98" s="101">
        <f>INT(F1*3.81)</f>
        <v>247</v>
      </c>
      <c r="C98" s="97">
        <v>0</v>
      </c>
      <c r="D98" s="83">
        <v>0</v>
      </c>
      <c r="E98" s="61">
        <f>(B98*C98)+((B98+60)*D98)</f>
        <v>0</v>
      </c>
    </row>
    <row r="99" spans="1:5" ht="10.5" customHeight="1">
      <c r="A99" s="108" t="s">
        <v>216</v>
      </c>
      <c r="B99" s="101">
        <f>INT(F1*4.13)</f>
        <v>268</v>
      </c>
      <c r="C99" s="97">
        <v>0</v>
      </c>
      <c r="D99" s="83">
        <v>0</v>
      </c>
      <c r="E99" s="61">
        <f>(B99*C99)+((B99+90)*D99)</f>
        <v>0</v>
      </c>
    </row>
    <row r="100" spans="1:5" ht="10.5" customHeight="1">
      <c r="A100" s="108" t="s">
        <v>415</v>
      </c>
      <c r="B100" s="101">
        <f>INT(F1*4.5)</f>
        <v>292</v>
      </c>
      <c r="C100" s="97">
        <v>0</v>
      </c>
      <c r="D100" s="83">
        <v>0</v>
      </c>
      <c r="E100" s="61">
        <f>(B100*C100)+((B100+90)*D100)</f>
        <v>0</v>
      </c>
    </row>
    <row r="101" spans="1:5" ht="10.5" customHeight="1">
      <c r="A101" s="108" t="s">
        <v>217</v>
      </c>
      <c r="B101" s="101">
        <f>INT(F1*4.13)</f>
        <v>268</v>
      </c>
      <c r="C101" s="97">
        <v>0</v>
      </c>
      <c r="D101" s="83">
        <v>0</v>
      </c>
      <c r="E101" s="61">
        <f>(B101*C101)+((B101+90)*D101)</f>
        <v>0</v>
      </c>
    </row>
    <row r="102" spans="1:5" ht="10.5" customHeight="1">
      <c r="A102" s="53" t="s">
        <v>322</v>
      </c>
      <c r="B102" s="100"/>
      <c r="C102" s="96"/>
      <c r="D102" s="99"/>
      <c r="E102" s="96"/>
    </row>
    <row r="103" spans="1:5" ht="10.5" customHeight="1">
      <c r="A103" s="108" t="s">
        <v>311</v>
      </c>
      <c r="B103" s="101">
        <f>INT(F1*1.47)</f>
        <v>95</v>
      </c>
      <c r="C103" s="97">
        <v>0</v>
      </c>
      <c r="D103" s="83">
        <v>0</v>
      </c>
      <c r="E103" s="61">
        <f>(B103*C103)+((B103+30)*D103)</f>
        <v>0</v>
      </c>
    </row>
    <row r="104" spans="1:5" ht="10.5" customHeight="1">
      <c r="A104" s="108" t="s">
        <v>218</v>
      </c>
      <c r="B104" s="101">
        <f>INT(F1*1.47)</f>
        <v>95</v>
      </c>
      <c r="C104" s="97">
        <v>0</v>
      </c>
      <c r="D104" s="83">
        <v>0</v>
      </c>
      <c r="E104" s="61">
        <f>(B104*C104)+((B104+30)*D104)</f>
        <v>0</v>
      </c>
    </row>
    <row r="105" spans="1:5" ht="10.5" customHeight="1">
      <c r="A105" s="108" t="s">
        <v>219</v>
      </c>
      <c r="B105" s="101">
        <f>INT(F1*1.47)</f>
        <v>95</v>
      </c>
      <c r="C105" s="97">
        <v>0</v>
      </c>
      <c r="D105" s="83">
        <v>0</v>
      </c>
      <c r="E105" s="61">
        <f>(B105*C105)+((B105+30)*D105)</f>
        <v>0</v>
      </c>
    </row>
    <row r="106" spans="1:5" ht="10.5" customHeight="1">
      <c r="A106" s="108" t="s">
        <v>308</v>
      </c>
      <c r="B106" s="101">
        <f>INT(F1*1.47)</f>
        <v>95</v>
      </c>
      <c r="C106" s="97">
        <v>0</v>
      </c>
      <c r="D106" s="83">
        <v>0</v>
      </c>
      <c r="E106" s="61">
        <f>(B106*C106)+((B106+30)*D106)</f>
        <v>0</v>
      </c>
    </row>
    <row r="107" spans="1:5" ht="10.5" customHeight="1">
      <c r="A107" s="108" t="s">
        <v>309</v>
      </c>
      <c r="B107" s="101">
        <f>INT(F1*1.47)</f>
        <v>95</v>
      </c>
      <c r="C107" s="97">
        <v>0</v>
      </c>
      <c r="D107" s="83">
        <v>0</v>
      </c>
      <c r="E107" s="61">
        <f>(B107*C107)+((B107+30)*D107)</f>
        <v>0</v>
      </c>
    </row>
    <row r="108" spans="1:5" ht="10.5" customHeight="1">
      <c r="A108" s="108" t="s">
        <v>310</v>
      </c>
      <c r="B108" s="65">
        <f>INT(F1*1.125)</f>
        <v>73</v>
      </c>
      <c r="C108" s="61">
        <v>0</v>
      </c>
      <c r="D108" s="61">
        <v>0</v>
      </c>
      <c r="E108" s="61">
        <f>(B108*C108)+(B108*D108)</f>
        <v>0</v>
      </c>
    </row>
    <row r="109" spans="1:5" ht="10.5" customHeight="1">
      <c r="A109" s="108" t="s">
        <v>319</v>
      </c>
      <c r="B109" s="65">
        <f>INT(F1*1.5)</f>
        <v>97</v>
      </c>
      <c r="C109" s="61">
        <v>0</v>
      </c>
      <c r="D109" s="68" t="s">
        <v>323</v>
      </c>
      <c r="E109" s="61">
        <f>(B109*C109)</f>
        <v>0</v>
      </c>
    </row>
    <row r="110" spans="1:5" ht="10.5" customHeight="1">
      <c r="A110" s="108" t="s">
        <v>320</v>
      </c>
      <c r="B110" s="65">
        <f>INT(F1*1.5)</f>
        <v>97</v>
      </c>
      <c r="C110" s="61">
        <v>0</v>
      </c>
      <c r="D110" s="68" t="s">
        <v>323</v>
      </c>
      <c r="E110" s="61">
        <f>(B110*C110)</f>
        <v>0</v>
      </c>
    </row>
    <row r="111" spans="1:5" ht="10.5" customHeight="1">
      <c r="A111" s="108" t="s">
        <v>321</v>
      </c>
      <c r="B111" s="65">
        <f>INT(F1*1.5)</f>
        <v>97</v>
      </c>
      <c r="C111" s="61">
        <v>0</v>
      </c>
      <c r="D111" s="68" t="s">
        <v>323</v>
      </c>
      <c r="E111" s="61">
        <f>(B111*C111)</f>
        <v>0</v>
      </c>
    </row>
    <row r="112" spans="1:5" ht="10.5" customHeight="1">
      <c r="A112" s="93" t="s">
        <v>312</v>
      </c>
      <c r="B112" s="111"/>
      <c r="C112" s="62"/>
      <c r="D112" s="62"/>
      <c r="E112" s="62"/>
    </row>
    <row r="113" spans="1:5" ht="10.5" customHeight="1">
      <c r="A113" s="108" t="s">
        <v>313</v>
      </c>
      <c r="B113" s="101">
        <f>INT(F1*2.35)</f>
        <v>152</v>
      </c>
      <c r="C113" s="97">
        <v>0</v>
      </c>
      <c r="D113" s="68" t="s">
        <v>324</v>
      </c>
      <c r="E113" s="61">
        <f>(B113*C113)</f>
        <v>0</v>
      </c>
    </row>
    <row r="114" spans="1:5" ht="10.5" customHeight="1">
      <c r="A114" s="108" t="s">
        <v>314</v>
      </c>
      <c r="B114" s="101">
        <f>INT(F1*2.35)</f>
        <v>152</v>
      </c>
      <c r="C114" s="97">
        <v>0</v>
      </c>
      <c r="D114" s="68" t="s">
        <v>324</v>
      </c>
      <c r="E114" s="61">
        <f>(B114*C114)</f>
        <v>0</v>
      </c>
    </row>
    <row r="115" spans="1:5" ht="10.5" customHeight="1">
      <c r="A115" s="108" t="s">
        <v>315</v>
      </c>
      <c r="B115" s="101">
        <f>INT(F1*2.25)</f>
        <v>146</v>
      </c>
      <c r="C115" s="97">
        <v>0</v>
      </c>
      <c r="D115" s="68" t="s">
        <v>324</v>
      </c>
      <c r="E115" s="61">
        <f>(B115*C115)</f>
        <v>0</v>
      </c>
    </row>
    <row r="116" spans="1:5" ht="10.5" customHeight="1">
      <c r="A116" s="108" t="s">
        <v>316</v>
      </c>
      <c r="B116" s="101">
        <f>INT(F1*2.25)</f>
        <v>146</v>
      </c>
      <c r="C116" s="97">
        <v>0</v>
      </c>
      <c r="D116" s="68" t="s">
        <v>324</v>
      </c>
      <c r="E116" s="61">
        <f>(B116*C116)</f>
        <v>0</v>
      </c>
    </row>
    <row r="117" spans="1:5" ht="10.5" customHeight="1">
      <c r="A117" s="108" t="s">
        <v>317</v>
      </c>
      <c r="B117" s="101">
        <f>INT(F1*0.71)</f>
        <v>46</v>
      </c>
      <c r="C117" s="97">
        <v>0</v>
      </c>
      <c r="D117" s="83">
        <v>0</v>
      </c>
      <c r="E117" s="61">
        <f>(B117*C117)+((B117+30)*D117)</f>
        <v>0</v>
      </c>
    </row>
    <row r="118" spans="1:5" ht="10.5" customHeight="1">
      <c r="A118" s="108" t="s">
        <v>318</v>
      </c>
      <c r="B118" s="101">
        <f>INT(F1*0.65)</f>
        <v>42</v>
      </c>
      <c r="C118" s="97">
        <v>0</v>
      </c>
      <c r="D118" s="83">
        <v>0</v>
      </c>
      <c r="E118" s="61">
        <f>(B118*C118)+((B118+30)*D118)</f>
        <v>0</v>
      </c>
    </row>
    <row r="119" spans="1:5" ht="10.5" customHeight="1">
      <c r="A119" s="50" t="s">
        <v>298</v>
      </c>
      <c r="B119" s="101"/>
      <c r="C119" s="101"/>
      <c r="D119" s="102"/>
      <c r="E119" s="101"/>
    </row>
    <row r="120" spans="1:5" ht="10.5" customHeight="1">
      <c r="A120" s="108" t="s">
        <v>201</v>
      </c>
      <c r="B120" s="67">
        <f>INT(F1*2.84)</f>
        <v>184</v>
      </c>
      <c r="C120" s="61">
        <v>0</v>
      </c>
      <c r="D120" s="83">
        <v>0</v>
      </c>
      <c r="E120" s="61">
        <f aca="true" t="shared" si="3" ref="E120:E129">(B120*C120)+((B120+60)*D120)</f>
        <v>0</v>
      </c>
    </row>
    <row r="121" spans="1:5" ht="10.5" customHeight="1">
      <c r="A121" s="108" t="s">
        <v>202</v>
      </c>
      <c r="B121" s="67">
        <f>INT(F1*2.84)</f>
        <v>184</v>
      </c>
      <c r="C121" s="61">
        <v>0</v>
      </c>
      <c r="D121" s="83">
        <v>0</v>
      </c>
      <c r="E121" s="61">
        <f t="shared" si="3"/>
        <v>0</v>
      </c>
    </row>
    <row r="122" spans="1:5" ht="10.5" customHeight="1">
      <c r="A122" s="108" t="s">
        <v>200</v>
      </c>
      <c r="B122" s="67">
        <f>INT(F1*2.84)</f>
        <v>184</v>
      </c>
      <c r="C122" s="61">
        <v>0</v>
      </c>
      <c r="D122" s="83">
        <v>0</v>
      </c>
      <c r="E122" s="61">
        <f t="shared" si="3"/>
        <v>0</v>
      </c>
    </row>
    <row r="123" spans="1:5" ht="10.5" customHeight="1">
      <c r="A123" s="108" t="s">
        <v>203</v>
      </c>
      <c r="B123" s="67">
        <f>INT(F1*2.84)</f>
        <v>184</v>
      </c>
      <c r="C123" s="61">
        <v>0</v>
      </c>
      <c r="D123" s="83">
        <v>0</v>
      </c>
      <c r="E123" s="61">
        <f t="shared" si="3"/>
        <v>0</v>
      </c>
    </row>
    <row r="124" spans="1:5" ht="10.5" customHeight="1">
      <c r="A124" s="108" t="s">
        <v>204</v>
      </c>
      <c r="B124" s="67">
        <f>INT(F1*2.84)</f>
        <v>184</v>
      </c>
      <c r="C124" s="61">
        <v>0</v>
      </c>
      <c r="D124" s="83">
        <v>0</v>
      </c>
      <c r="E124" s="61">
        <f t="shared" si="3"/>
        <v>0</v>
      </c>
    </row>
    <row r="125" spans="1:5" ht="10.5" customHeight="1">
      <c r="A125" s="108" t="s">
        <v>208</v>
      </c>
      <c r="B125" s="67">
        <f>INT(F1*2.84)</f>
        <v>184</v>
      </c>
      <c r="C125" s="61">
        <v>0</v>
      </c>
      <c r="D125" s="83">
        <v>0</v>
      </c>
      <c r="E125" s="61">
        <f t="shared" si="3"/>
        <v>0</v>
      </c>
    </row>
    <row r="126" spans="1:5" ht="10.5" customHeight="1">
      <c r="A126" s="108" t="s">
        <v>205</v>
      </c>
      <c r="B126" s="67">
        <f>INT(F1*2.84)</f>
        <v>184</v>
      </c>
      <c r="C126" s="61">
        <v>0</v>
      </c>
      <c r="D126" s="83">
        <v>0</v>
      </c>
      <c r="E126" s="61">
        <f t="shared" si="3"/>
        <v>0</v>
      </c>
    </row>
    <row r="127" spans="1:5" ht="10.5" customHeight="1">
      <c r="A127" s="108" t="s">
        <v>206</v>
      </c>
      <c r="B127" s="67">
        <f>INT(F1*3)</f>
        <v>195</v>
      </c>
      <c r="C127" s="61">
        <v>0</v>
      </c>
      <c r="D127" s="83">
        <v>0</v>
      </c>
      <c r="E127" s="61">
        <f t="shared" si="3"/>
        <v>0</v>
      </c>
    </row>
    <row r="128" spans="1:5" ht="10.5" customHeight="1">
      <c r="A128" s="108" t="s">
        <v>207</v>
      </c>
      <c r="B128" s="67">
        <f>INT(F1*3)</f>
        <v>195</v>
      </c>
      <c r="C128" s="61">
        <v>0</v>
      </c>
      <c r="D128" s="83">
        <v>0</v>
      </c>
      <c r="E128" s="61">
        <f t="shared" si="3"/>
        <v>0</v>
      </c>
    </row>
    <row r="129" spans="1:5" ht="10.5" customHeight="1">
      <c r="A129" s="108" t="s">
        <v>209</v>
      </c>
      <c r="B129" s="67">
        <f>INT(F1*2.84)</f>
        <v>184</v>
      </c>
      <c r="C129" s="61">
        <v>0</v>
      </c>
      <c r="D129" s="83">
        <v>0</v>
      </c>
      <c r="E129" s="61">
        <f t="shared" si="3"/>
        <v>0</v>
      </c>
    </row>
    <row r="130" spans="1:5" s="49" customFormat="1" ht="12" customHeight="1">
      <c r="A130" s="55" t="s">
        <v>299</v>
      </c>
      <c r="B130" s="79"/>
      <c r="C130" s="69"/>
      <c r="D130" s="69"/>
      <c r="E130" s="70"/>
    </row>
    <row r="131" spans="1:5" ht="9.75" customHeight="1">
      <c r="A131" s="108" t="s">
        <v>137</v>
      </c>
      <c r="B131" s="65">
        <f>INT(F1*3.65)</f>
        <v>237</v>
      </c>
      <c r="C131" s="61">
        <v>0</v>
      </c>
      <c r="D131" s="61">
        <v>0</v>
      </c>
      <c r="E131" s="61">
        <f>(B131*C131)+((B131+60)*D131)</f>
        <v>0</v>
      </c>
    </row>
    <row r="132" spans="1:5" ht="9.75" customHeight="1">
      <c r="A132" s="108" t="s">
        <v>138</v>
      </c>
      <c r="B132" s="65">
        <f>INT(F1*3.65)</f>
        <v>237</v>
      </c>
      <c r="C132" s="61">
        <v>0</v>
      </c>
      <c r="D132" s="61">
        <v>0</v>
      </c>
      <c r="E132" s="61">
        <f>(B132*C132)+((B132+30)*D132)</f>
        <v>0</v>
      </c>
    </row>
    <row r="133" spans="1:5" ht="9.75" customHeight="1">
      <c r="A133" s="108" t="s">
        <v>139</v>
      </c>
      <c r="B133" s="65">
        <f>INT(F1*3.65)</f>
        <v>237</v>
      </c>
      <c r="C133" s="61">
        <v>0</v>
      </c>
      <c r="D133" s="61">
        <v>0</v>
      </c>
      <c r="E133" s="61">
        <f>(B133*C133)+((B133+60)*D133)</f>
        <v>0</v>
      </c>
    </row>
    <row r="134" spans="1:5" ht="9.75" customHeight="1">
      <c r="A134" s="108" t="s">
        <v>4</v>
      </c>
      <c r="B134" s="65">
        <f>INT(F1*1)</f>
        <v>65</v>
      </c>
      <c r="C134" s="61">
        <v>0</v>
      </c>
      <c r="D134" s="61">
        <v>0</v>
      </c>
      <c r="E134" s="61">
        <f>(B134*C134)+((B134+60)*D134)</f>
        <v>0</v>
      </c>
    </row>
    <row r="135" spans="1:5" s="49" customFormat="1" ht="11.25" customHeight="1">
      <c r="A135" s="94" t="s">
        <v>211</v>
      </c>
      <c r="B135" s="71"/>
      <c r="C135" s="71"/>
      <c r="D135" s="71"/>
      <c r="E135" s="70"/>
    </row>
    <row r="136" spans="1:5" ht="9.75" customHeight="1">
      <c r="A136" s="108" t="s">
        <v>5</v>
      </c>
      <c r="B136" s="65">
        <f>INT(F1*4.2)</f>
        <v>273</v>
      </c>
      <c r="C136" s="61">
        <v>0</v>
      </c>
      <c r="D136" s="61">
        <v>0</v>
      </c>
      <c r="E136" s="61">
        <f>(B136*C136)+((B136+80)*D136)</f>
        <v>0</v>
      </c>
    </row>
    <row r="137" spans="1:5" ht="9.75" customHeight="1">
      <c r="A137" s="108" t="s">
        <v>6</v>
      </c>
      <c r="B137" s="65">
        <f>INT(F1*4.2)</f>
        <v>273</v>
      </c>
      <c r="C137" s="61">
        <v>0</v>
      </c>
      <c r="D137" s="61">
        <v>0</v>
      </c>
      <c r="E137" s="61">
        <f>(B137*C137)+((B137+80)*D137)</f>
        <v>0</v>
      </c>
    </row>
    <row r="138" spans="1:5" ht="9.75" customHeight="1">
      <c r="A138" s="108" t="s">
        <v>7</v>
      </c>
      <c r="B138" s="65">
        <f>INT(F1*4.2)</f>
        <v>273</v>
      </c>
      <c r="C138" s="61">
        <v>0</v>
      </c>
      <c r="D138" s="61">
        <v>0</v>
      </c>
      <c r="E138" s="61">
        <f>(B138*C138)+((B138+80)*D138)</f>
        <v>0</v>
      </c>
    </row>
    <row r="139" spans="1:5" ht="9.75" customHeight="1">
      <c r="A139" s="108" t="s">
        <v>8</v>
      </c>
      <c r="B139" s="65">
        <f>INT(F1*4.5)</f>
        <v>292</v>
      </c>
      <c r="C139" s="61">
        <v>0</v>
      </c>
      <c r="D139" s="61">
        <v>0</v>
      </c>
      <c r="E139" s="61">
        <f>(B139*C139)+((B139+80)*D139)</f>
        <v>0</v>
      </c>
    </row>
    <row r="140" spans="1:5" s="58" customFormat="1" ht="11.25" customHeight="1">
      <c r="A140" s="135" t="s">
        <v>185</v>
      </c>
      <c r="B140" s="135"/>
      <c r="C140" s="135"/>
      <c r="D140" s="56"/>
      <c r="E140" s="57"/>
    </row>
    <row r="141" spans="1:5" ht="9.75" customHeight="1">
      <c r="A141" s="72" t="s">
        <v>11</v>
      </c>
      <c r="B141" s="73">
        <f>INT(F1*10)</f>
        <v>650</v>
      </c>
      <c r="C141" s="61">
        <v>0</v>
      </c>
      <c r="D141" s="68" t="s">
        <v>101</v>
      </c>
      <c r="E141" s="61">
        <f>(B141*C141)</f>
        <v>0</v>
      </c>
    </row>
    <row r="142" spans="1:6" s="60" customFormat="1" ht="12.75" customHeight="1">
      <c r="A142" s="121" t="s">
        <v>23</v>
      </c>
      <c r="B142" s="121"/>
      <c r="C142" s="121"/>
      <c r="D142" s="121"/>
      <c r="E142" s="74">
        <f>SUM(E5:E141)</f>
        <v>0</v>
      </c>
      <c r="F142" s="59"/>
    </row>
    <row r="143" spans="1:5" ht="14.25" customHeight="1">
      <c r="A143" s="122" t="s">
        <v>41</v>
      </c>
      <c r="B143" s="122"/>
      <c r="C143" s="122"/>
      <c r="D143" s="122"/>
      <c r="E143" s="75">
        <f>E142+'Terochki.ru'!E149+'Massagerell.ru'!D8+'Сarapky.ru'!D35+'2Resnichki.ru'!F50+'Warbrushes.ru'!D22</f>
        <v>0</v>
      </c>
    </row>
    <row r="144" spans="1:5" ht="12" customHeight="1">
      <c r="A144" s="129" t="s">
        <v>97</v>
      </c>
      <c r="B144" s="129"/>
      <c r="C144" s="129"/>
      <c r="D144" s="129"/>
      <c r="E144" s="129"/>
    </row>
  </sheetData>
  <sheetProtection/>
  <mergeCells count="13">
    <mergeCell ref="A1:E1"/>
    <mergeCell ref="A142:D142"/>
    <mergeCell ref="A140:C140"/>
    <mergeCell ref="E2:E3"/>
    <mergeCell ref="B2:B3"/>
    <mergeCell ref="A67:E67"/>
    <mergeCell ref="B4:E4"/>
    <mergeCell ref="A144:E144"/>
    <mergeCell ref="D5:D28"/>
    <mergeCell ref="A143:D143"/>
    <mergeCell ref="A2:A3"/>
    <mergeCell ref="C2:C3"/>
    <mergeCell ref="D2:D3"/>
  </mergeCells>
  <hyperlinks>
    <hyperlink ref="A5:A6" r:id="rId1" display="Лазерная тёрка 1023 чёрная lowcost"/>
    <hyperlink ref="A7" r:id="rId2" display="Лазерная тёрка 1023 Nickel"/>
    <hyperlink ref="A8" r:id="rId3" display="Лазерная тёрка 1031 Sun чёрная"/>
    <hyperlink ref="A10" r:id="rId4" display="Лазерная тёрка 1024 Mini"/>
    <hyperlink ref="A11" r:id="rId5" display="Лазерная тёрка 1037 Hibrid "/>
    <hyperlink ref="A12:A13" r:id="rId6" display="Лазерная тёрка 1031 Slim "/>
    <hyperlink ref="A14" r:id="rId7" display="Срезающая липсовая тёрка "/>
    <hyperlink ref="A15" r:id="rId8" display="Минилипсовая срезающая тёрка"/>
    <hyperlink ref="A17" r:id="rId9" display="Волновая пилка "/>
    <hyperlink ref="A18" r:id="rId10" display="Тёрка ZigZag"/>
    <hyperlink ref="A19" r:id="rId11" display="Пилка 3082 Portable "/>
    <hyperlink ref="A20" r:id="rId12" display="Полировка 3083S"/>
    <hyperlink ref="A21" r:id="rId13" display="Пилка 3085 Sun  "/>
    <hyperlink ref="A22" r:id="rId14" display="Пилка 3086 Submarine  "/>
    <hyperlink ref="A23" r:id="rId15" display="Пилка 3087 Supernova "/>
    <hyperlink ref="A24" r:id="rId16" display="Пилка 3090 Terma"/>
    <hyperlink ref="A25" r:id="rId17" display="Пилка Terma 2 reborn"/>
    <hyperlink ref="A26:A27" r:id="rId18" display="Стеклянная пилка 12 см"/>
    <hyperlink ref="A28" r:id="rId19" display="Карандаш для кутикулы"/>
    <hyperlink ref="A29" r:id="rId20" display="Мультитриммер для кутикулы"/>
    <hyperlink ref="A31:A32" r:id="rId21" display="Чудо мочалка - рукавичка"/>
    <hyperlink ref="A33:A36" r:id="rId22" display="Колпачок для ножниц"/>
    <hyperlink ref="A38:A44" r:id="rId23" display="Vanessa (118 DPR) жёлтый"/>
    <hyperlink ref="A46:A57" r:id="rId24" display="Marshal 45 mk  "/>
    <hyperlink ref="A59:A66" r:id="rId25" display="Tristan 35 "/>
    <hyperlink ref="A70" r:id="rId26" display="Пилинг носочки"/>
    <hyperlink ref="A68:A69" r:id="rId27" display="Парафиновые носочки"/>
    <hyperlink ref="A71" r:id="rId28" display="Быстроманикюр для рук"/>
    <hyperlink ref="A73:A80" r:id="rId29" display="Ножницы Bt-113 ergonomic"/>
    <hyperlink ref="A82:A83" r:id="rId30" display="Кусачки Bt -204 elegant"/>
    <hyperlink ref="A95:A101" r:id="rId31" display="Кусачки 203 round - 3 mm"/>
    <hyperlink ref="A120:A129" r:id="rId32" display="Кусачки 260 (7/105 мм, двойн. сустав)"/>
    <hyperlink ref="A131:A133" r:id="rId33" display="Bt-118 PU"/>
    <hyperlink ref="A136:A139" r:id="rId34" display="Ell-215  salon"/>
    <hyperlink ref="A108" r:id="rId35" display="Петля 419"/>
    <hyperlink ref="A16" r:id="rId36" display="Тёрка Liquid Nickel new"/>
    <hyperlink ref="A103:A108" r:id="rId37" display="Пушер 403 (две лопатки)"/>
    <hyperlink ref="A109:A111" r:id="rId38" display="Пушер 421 Long@Sharp"/>
    <hyperlink ref="A90" r:id="rId39" display="Ножницы 111 (листовая пружина)"/>
    <hyperlink ref="A9" r:id="rId40" display="Лазерная тёрка 1033 MayFair new"/>
    <hyperlink ref="A85" r:id="rId41" display="Ножницы 111 (листовая пружина)"/>
    <hyperlink ref="A100" r:id="rId42" display="Кусачки 203 round - 3 mm"/>
    <hyperlink ref="A97" r:id="rId43" display="Кусачки 203 round - 3 mm"/>
  </hyperlinks>
  <printOptions/>
  <pageMargins left="0.7" right="0.7" top="0.75" bottom="0.75" header="0.3" footer="0.3"/>
  <pageSetup horizontalDpi="600" verticalDpi="600" orientation="portrait" paperSize="9" r:id="rId45"/>
  <drawing r:id="rId4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24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7109375" style="2" customWidth="1"/>
    <col min="2" max="2" width="13.8515625" style="2" customWidth="1"/>
    <col min="3" max="3" width="11.421875" style="2" customWidth="1"/>
    <col min="4" max="4" width="14.421875" style="2" customWidth="1"/>
    <col min="5" max="5" width="15.57421875" style="2" customWidth="1"/>
    <col min="6" max="16384" width="9.140625" style="2" customWidth="1"/>
  </cols>
  <sheetData>
    <row r="1" spans="1:5" ht="50.25" customHeight="1">
      <c r="A1" s="145" t="s">
        <v>301</v>
      </c>
      <c r="B1" s="146"/>
      <c r="C1" s="146"/>
      <c r="D1" s="146"/>
      <c r="E1" s="63">
        <v>65</v>
      </c>
    </row>
    <row r="2" spans="1:5" ht="9.75" customHeight="1">
      <c r="A2" s="128" t="s">
        <v>0</v>
      </c>
      <c r="B2" s="118" t="s">
        <v>21</v>
      </c>
      <c r="C2" s="128" t="s">
        <v>19</v>
      </c>
      <c r="D2" s="128" t="s">
        <v>1</v>
      </c>
      <c r="E2" s="47" t="s">
        <v>109</v>
      </c>
    </row>
    <row r="3" spans="1:5" ht="15" customHeight="1">
      <c r="A3" s="128"/>
      <c r="B3" s="119"/>
      <c r="C3" s="128"/>
      <c r="D3" s="128"/>
      <c r="E3" s="66" t="s">
        <v>110</v>
      </c>
    </row>
    <row r="4" spans="1:5" s="1" customFormat="1" ht="11.25" customHeight="1">
      <c r="A4" s="43" t="s">
        <v>142</v>
      </c>
      <c r="B4" s="43"/>
      <c r="C4" s="43"/>
      <c r="D4" s="7"/>
      <c r="E4" s="89" t="s">
        <v>418</v>
      </c>
    </row>
    <row r="5" spans="1:4" ht="9.75" customHeight="1">
      <c r="A5" s="108" t="s">
        <v>341</v>
      </c>
      <c r="B5" s="8">
        <f>INT(E1*2.58)</f>
        <v>167</v>
      </c>
      <c r="C5" s="3">
        <v>0</v>
      </c>
      <c r="D5" s="3">
        <f>(B5*C5)</f>
        <v>0</v>
      </c>
    </row>
    <row r="6" spans="1:4" ht="9.75" customHeight="1">
      <c r="A6" s="108" t="s">
        <v>342</v>
      </c>
      <c r="B6" s="8">
        <f>INT(E1*2.58)</f>
        <v>167</v>
      </c>
      <c r="C6" s="3">
        <v>0</v>
      </c>
      <c r="D6" s="3">
        <f>(B6*C6)</f>
        <v>0</v>
      </c>
    </row>
    <row r="7" spans="1:4" ht="9.75" customHeight="1">
      <c r="A7" s="108" t="s">
        <v>343</v>
      </c>
      <c r="B7" s="8">
        <f>INT(E1*2.38)</f>
        <v>154</v>
      </c>
      <c r="C7" s="3">
        <v>0</v>
      </c>
      <c r="D7" s="3">
        <f>(B7*C7)</f>
        <v>0</v>
      </c>
    </row>
    <row r="8" spans="1:4" ht="9.75" customHeight="1">
      <c r="A8" s="108" t="s">
        <v>344</v>
      </c>
      <c r="B8" s="8">
        <f>INT(E1*2.38)</f>
        <v>154</v>
      </c>
      <c r="C8" s="3">
        <v>0</v>
      </c>
      <c r="D8" s="3">
        <f>(B8*C8)</f>
        <v>0</v>
      </c>
    </row>
    <row r="9" spans="1:4" ht="9.75" customHeight="1">
      <c r="A9" s="108" t="s">
        <v>345</v>
      </c>
      <c r="B9" s="8">
        <f>INT(E1*2.38)</f>
        <v>154</v>
      </c>
      <c r="C9" s="3">
        <v>0</v>
      </c>
      <c r="D9" s="3">
        <f>(B9*C9)</f>
        <v>0</v>
      </c>
    </row>
    <row r="10" spans="1:4" ht="3" customHeight="1">
      <c r="A10" s="111"/>
      <c r="B10" s="113"/>
      <c r="C10" s="105"/>
      <c r="D10" s="105"/>
    </row>
    <row r="11" spans="1:4" ht="9.75" customHeight="1">
      <c r="A11" s="108" t="s">
        <v>143</v>
      </c>
      <c r="B11" s="8">
        <f>INT(E1*4.02)</f>
        <v>261</v>
      </c>
      <c r="C11" s="3">
        <v>0</v>
      </c>
      <c r="D11" s="3">
        <f>(B11*C11)</f>
        <v>0</v>
      </c>
    </row>
    <row r="12" spans="1:4" ht="9.75" customHeight="1">
      <c r="A12" s="108" t="s">
        <v>144</v>
      </c>
      <c r="B12" s="8">
        <f>INT(E1*3.22)</f>
        <v>209</v>
      </c>
      <c r="C12" s="3">
        <v>0</v>
      </c>
      <c r="D12" s="3">
        <f aca="true" t="shared" si="0" ref="D12:D21">(B12*C12)</f>
        <v>0</v>
      </c>
    </row>
    <row r="13" spans="1:4" ht="9.75" customHeight="1">
      <c r="A13" s="108" t="s">
        <v>145</v>
      </c>
      <c r="B13" s="8">
        <f>INT(E1*3)</f>
        <v>195</v>
      </c>
      <c r="C13" s="3">
        <v>0</v>
      </c>
      <c r="D13" s="3">
        <f t="shared" si="0"/>
        <v>0</v>
      </c>
    </row>
    <row r="14" spans="1:4" ht="9.75" customHeight="1">
      <c r="A14" s="108" t="s">
        <v>146</v>
      </c>
      <c r="B14" s="8">
        <f>INT(E1*4.71)</f>
        <v>306</v>
      </c>
      <c r="C14" s="3">
        <v>0</v>
      </c>
      <c r="D14" s="3">
        <f t="shared" si="0"/>
        <v>0</v>
      </c>
    </row>
    <row r="15" spans="1:4" ht="9.75" customHeight="1">
      <c r="A15" s="108" t="s">
        <v>147</v>
      </c>
      <c r="B15" s="8">
        <f>INT(E1*4.77)</f>
        <v>310</v>
      </c>
      <c r="C15" s="3">
        <v>0</v>
      </c>
      <c r="D15" s="3">
        <f t="shared" si="0"/>
        <v>0</v>
      </c>
    </row>
    <row r="16" spans="1:4" ht="9.75" customHeight="1">
      <c r="A16" s="108" t="s">
        <v>148</v>
      </c>
      <c r="B16" s="8">
        <f>INT(E1*3.22)</f>
        <v>209</v>
      </c>
      <c r="C16" s="3">
        <v>0</v>
      </c>
      <c r="D16" s="3">
        <f t="shared" si="0"/>
        <v>0</v>
      </c>
    </row>
    <row r="17" spans="1:4" ht="9.75" customHeight="1">
      <c r="A17" s="108" t="s">
        <v>153</v>
      </c>
      <c r="B17" s="8">
        <f>INT(E1*4.6)</f>
        <v>299</v>
      </c>
      <c r="C17" s="3">
        <v>0</v>
      </c>
      <c r="D17" s="3">
        <f t="shared" si="0"/>
        <v>0</v>
      </c>
    </row>
    <row r="18" spans="1:4" ht="9.75" customHeight="1">
      <c r="A18" s="108" t="s">
        <v>149</v>
      </c>
      <c r="B18" s="8">
        <f>INT(E1*3.79)</f>
        <v>246</v>
      </c>
      <c r="C18" s="3">
        <v>0</v>
      </c>
      <c r="D18" s="3">
        <f t="shared" si="0"/>
        <v>0</v>
      </c>
    </row>
    <row r="19" spans="1:4" ht="9.75" customHeight="1">
      <c r="A19" s="108" t="s">
        <v>150</v>
      </c>
      <c r="B19" s="8">
        <f>INT(E1*4.25)</f>
        <v>276</v>
      </c>
      <c r="C19" s="3">
        <v>0</v>
      </c>
      <c r="D19" s="3">
        <f t="shared" si="0"/>
        <v>0</v>
      </c>
    </row>
    <row r="20" spans="1:4" ht="9.75" customHeight="1">
      <c r="A20" s="108" t="s">
        <v>151</v>
      </c>
      <c r="B20" s="8">
        <f>INT(E1*4)</f>
        <v>260</v>
      </c>
      <c r="C20" s="3">
        <v>0</v>
      </c>
      <c r="D20" s="3">
        <f t="shared" si="0"/>
        <v>0</v>
      </c>
    </row>
    <row r="21" spans="1:4" ht="9.75" customHeight="1">
      <c r="A21" s="108" t="s">
        <v>152</v>
      </c>
      <c r="B21" s="8">
        <f>INT(E1*2.93)</f>
        <v>190</v>
      </c>
      <c r="C21" s="3">
        <v>0</v>
      </c>
      <c r="D21" s="3">
        <f t="shared" si="0"/>
        <v>0</v>
      </c>
    </row>
    <row r="22" spans="1:5" s="5" customFormat="1" ht="12" customHeight="1">
      <c r="A22" s="147" t="s">
        <v>22</v>
      </c>
      <c r="B22" s="147"/>
      <c r="C22" s="147"/>
      <c r="D22" s="15">
        <f>SUM(D5:D21)</f>
        <v>0</v>
      </c>
      <c r="E22" s="4"/>
    </row>
    <row r="23" spans="1:4" ht="13.5" customHeight="1">
      <c r="A23" s="122" t="s">
        <v>41</v>
      </c>
      <c r="B23" s="143"/>
      <c r="C23" s="143"/>
      <c r="D23" s="45">
        <f>D22+'Terochki.ru'!E149+'Btfly.ru'!E142+'Сarapky.ru'!D35+'2Resnichki.ru'!F50+'Massagerell.ru'!D8</f>
        <v>0</v>
      </c>
    </row>
    <row r="24" spans="1:4" ht="13.5" customHeight="1">
      <c r="A24" s="144" t="s">
        <v>97</v>
      </c>
      <c r="B24" s="144"/>
      <c r="C24" s="144"/>
      <c r="D24" s="144"/>
    </row>
    <row r="25" ht="9.75" customHeight="1"/>
  </sheetData>
  <sheetProtection/>
  <mergeCells count="8">
    <mergeCell ref="A23:C23"/>
    <mergeCell ref="A24:D24"/>
    <mergeCell ref="A1:D1"/>
    <mergeCell ref="A2:A3"/>
    <mergeCell ref="B2:B3"/>
    <mergeCell ref="C2:C3"/>
    <mergeCell ref="D2:D3"/>
    <mergeCell ref="A22:C22"/>
  </mergeCells>
  <hyperlinks>
    <hyperlink ref="A11" r:id="rId1" display="Расчёска Salon Black MAXI 2C"/>
    <hyperlink ref="A5:A9" r:id="rId2" display="Расчёска RedWood Metal MAXI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2"/>
  <sheetViews>
    <sheetView zoomScalePageLayoutView="0" workbookViewId="0" topLeftCell="A1">
      <selection activeCell="G1" sqref="G1"/>
    </sheetView>
  </sheetViews>
  <sheetFormatPr defaultColWidth="9.140625" defaultRowHeight="9.75" customHeight="1"/>
  <cols>
    <col min="1" max="1" width="21.00390625" style="2" customWidth="1"/>
    <col min="2" max="2" width="8.421875" style="2" customWidth="1"/>
    <col min="3" max="3" width="10.8515625" style="2" customWidth="1"/>
    <col min="4" max="4" width="9.57421875" style="2" customWidth="1"/>
    <col min="5" max="5" width="10.140625" style="2" customWidth="1"/>
    <col min="6" max="6" width="8.8515625" style="2" customWidth="1"/>
    <col min="7" max="7" width="15.00390625" style="2" customWidth="1"/>
    <col min="8" max="16384" width="9.140625" style="2" customWidth="1"/>
  </cols>
  <sheetData>
    <row r="1" spans="1:7" ht="49.5" customHeight="1">
      <c r="A1" s="145" t="s">
        <v>301</v>
      </c>
      <c r="B1" s="146"/>
      <c r="C1" s="146"/>
      <c r="D1" s="146"/>
      <c r="E1" s="146"/>
      <c r="F1" s="146"/>
      <c r="G1" s="63">
        <v>65</v>
      </c>
    </row>
    <row r="2" spans="1:7" ht="9.75" customHeight="1">
      <c r="A2" s="128" t="s">
        <v>0</v>
      </c>
      <c r="B2" s="118" t="s">
        <v>47</v>
      </c>
      <c r="C2" s="128" t="s">
        <v>397</v>
      </c>
      <c r="D2" s="118" t="s">
        <v>395</v>
      </c>
      <c r="E2" s="128" t="s">
        <v>398</v>
      </c>
      <c r="F2" s="128" t="s">
        <v>1</v>
      </c>
      <c r="G2" s="47" t="s">
        <v>109</v>
      </c>
    </row>
    <row r="3" spans="1:7" ht="15" customHeight="1">
      <c r="A3" s="128"/>
      <c r="B3" s="119"/>
      <c r="C3" s="128"/>
      <c r="D3" s="119"/>
      <c r="E3" s="128"/>
      <c r="F3" s="128"/>
      <c r="G3" s="66" t="s">
        <v>110</v>
      </c>
    </row>
    <row r="4" spans="1:7" ht="11.25" customHeight="1">
      <c r="A4" s="148" t="s">
        <v>391</v>
      </c>
      <c r="B4" s="149"/>
      <c r="C4" s="150"/>
      <c r="D4" s="13"/>
      <c r="E4" s="11"/>
      <c r="F4" s="11"/>
      <c r="G4" s="89" t="s">
        <v>417</v>
      </c>
    </row>
    <row r="5" spans="1:7" ht="11.25" customHeight="1">
      <c r="A5" s="108" t="s">
        <v>399</v>
      </c>
      <c r="B5" s="26">
        <f>INT(G1*1.4)</f>
        <v>91</v>
      </c>
      <c r="C5" s="112"/>
      <c r="D5" s="3">
        <v>0</v>
      </c>
      <c r="E5" s="3"/>
      <c r="F5" s="3">
        <f aca="true" t="shared" si="0" ref="F5:F11">(B5*D5)</f>
        <v>0</v>
      </c>
      <c r="G5"/>
    </row>
    <row r="6" spans="1:7" ht="11.25" customHeight="1">
      <c r="A6" s="108" t="s">
        <v>400</v>
      </c>
      <c r="B6" s="26">
        <f>INT(G1*1.4)</f>
        <v>91</v>
      </c>
      <c r="C6" s="112"/>
      <c r="D6" s="3">
        <v>0</v>
      </c>
      <c r="E6" s="3"/>
      <c r="F6" s="3">
        <f t="shared" si="0"/>
        <v>0</v>
      </c>
      <c r="G6"/>
    </row>
    <row r="7" spans="1:7" ht="11.25" customHeight="1">
      <c r="A7" s="108" t="s">
        <v>401</v>
      </c>
      <c r="B7" s="26">
        <f>INT(G1*1.4)</f>
        <v>91</v>
      </c>
      <c r="C7" s="112"/>
      <c r="D7" s="3">
        <v>0</v>
      </c>
      <c r="E7" s="3"/>
      <c r="F7" s="3">
        <f t="shared" si="0"/>
        <v>0</v>
      </c>
      <c r="G7"/>
    </row>
    <row r="8" spans="1:7" ht="11.25" customHeight="1">
      <c r="A8" s="108" t="s">
        <v>402</v>
      </c>
      <c r="B8" s="26">
        <f>INT(G1*1.4)</f>
        <v>91</v>
      </c>
      <c r="C8" s="112"/>
      <c r="D8" s="3">
        <v>0</v>
      </c>
      <c r="E8" s="3"/>
      <c r="F8" s="3">
        <f t="shared" si="0"/>
        <v>0</v>
      </c>
      <c r="G8"/>
    </row>
    <row r="9" spans="1:7" ht="11.25" customHeight="1">
      <c r="A9" s="108" t="s">
        <v>403</v>
      </c>
      <c r="B9" s="26">
        <f>INT(G1*1.4)</f>
        <v>91</v>
      </c>
      <c r="C9" s="112"/>
      <c r="D9" s="3">
        <v>0</v>
      </c>
      <c r="E9" s="3"/>
      <c r="F9" s="3">
        <f t="shared" si="0"/>
        <v>0</v>
      </c>
      <c r="G9"/>
    </row>
    <row r="10" spans="1:7" ht="11.25" customHeight="1">
      <c r="A10" s="108" t="s">
        <v>404</v>
      </c>
      <c r="B10" s="26">
        <f>INT(G1*1.4)</f>
        <v>91</v>
      </c>
      <c r="C10" s="112"/>
      <c r="D10" s="3">
        <v>0</v>
      </c>
      <c r="E10" s="3"/>
      <c r="F10" s="3">
        <f t="shared" si="0"/>
        <v>0</v>
      </c>
      <c r="G10"/>
    </row>
    <row r="11" spans="1:7" ht="11.25" customHeight="1">
      <c r="A11" s="108" t="s">
        <v>405</v>
      </c>
      <c r="B11" s="26">
        <f>INT(G1*1.4)</f>
        <v>91</v>
      </c>
      <c r="C11" s="112"/>
      <c r="D11" s="3">
        <v>0</v>
      </c>
      <c r="E11" s="3"/>
      <c r="F11" s="3">
        <f t="shared" si="0"/>
        <v>0</v>
      </c>
      <c r="G11"/>
    </row>
    <row r="12" spans="1:7" ht="11.25" customHeight="1">
      <c r="A12" s="148" t="s">
        <v>396</v>
      </c>
      <c r="B12" s="149"/>
      <c r="C12" s="150"/>
      <c r="D12" s="115" t="s">
        <v>392</v>
      </c>
      <c r="E12" s="114" t="s">
        <v>393</v>
      </c>
      <c r="F12" s="114" t="s">
        <v>394</v>
      </c>
      <c r="G12"/>
    </row>
    <row r="13" spans="1:6" ht="9.75" customHeight="1">
      <c r="A13" s="108" t="s">
        <v>48</v>
      </c>
      <c r="B13" s="6">
        <f>INT(G1*0.48)</f>
        <v>31</v>
      </c>
      <c r="C13" s="26">
        <f>INT(G1*4.25)</f>
        <v>276</v>
      </c>
      <c r="D13" s="3">
        <v>0</v>
      </c>
      <c r="E13" s="3">
        <v>0</v>
      </c>
      <c r="F13" s="3">
        <f>(B13*D13)+(C13*E13)</f>
        <v>0</v>
      </c>
    </row>
    <row r="14" spans="1:6" ht="9.75" customHeight="1">
      <c r="A14" s="108" t="s">
        <v>49</v>
      </c>
      <c r="B14" s="6">
        <f>INT(G1*0.48)</f>
        <v>31</v>
      </c>
      <c r="C14" s="26">
        <f>INT(G1*4.25)</f>
        <v>276</v>
      </c>
      <c r="D14" s="3">
        <v>0</v>
      </c>
      <c r="E14" s="3">
        <v>0</v>
      </c>
      <c r="F14" s="3">
        <f>(B14*D14)+(C14*E14)</f>
        <v>0</v>
      </c>
    </row>
    <row r="15" spans="1:10" ht="9.75" customHeight="1">
      <c r="A15" s="108" t="s">
        <v>50</v>
      </c>
      <c r="B15" s="6">
        <f>INT(G1*0.48)</f>
        <v>31</v>
      </c>
      <c r="C15" s="26">
        <f>INT(G1*4.25)</f>
        <v>276</v>
      </c>
      <c r="D15" s="3">
        <v>0</v>
      </c>
      <c r="E15" s="3">
        <v>0</v>
      </c>
      <c r="F15" s="3">
        <f aca="true" t="shared" si="1" ref="F15:F43">(B15*D15)+(C15*E15)</f>
        <v>0</v>
      </c>
      <c r="J15" s="25"/>
    </row>
    <row r="16" spans="1:6" ht="9.75" customHeight="1">
      <c r="A16" s="108" t="s">
        <v>51</v>
      </c>
      <c r="B16" s="6">
        <f>INT(G1*0.48)</f>
        <v>31</v>
      </c>
      <c r="C16" s="26">
        <f>INT(G1*4.25)</f>
        <v>276</v>
      </c>
      <c r="D16" s="3">
        <v>0</v>
      </c>
      <c r="E16" s="3">
        <v>0</v>
      </c>
      <c r="F16" s="3">
        <f t="shared" si="1"/>
        <v>0</v>
      </c>
    </row>
    <row r="17" spans="1:6" ht="9.75" customHeight="1">
      <c r="A17" s="108" t="s">
        <v>52</v>
      </c>
      <c r="B17" s="6">
        <f>INT(G1*0.48)</f>
        <v>31</v>
      </c>
      <c r="C17" s="26">
        <f>INT(G1*4.25)</f>
        <v>276</v>
      </c>
      <c r="D17" s="3">
        <v>0</v>
      </c>
      <c r="E17" s="3">
        <v>0</v>
      </c>
      <c r="F17" s="3">
        <f t="shared" si="1"/>
        <v>0</v>
      </c>
    </row>
    <row r="18" spans="1:6" ht="9.75" customHeight="1">
      <c r="A18" s="108" t="s">
        <v>53</v>
      </c>
      <c r="B18" s="6">
        <f>INT(G1*0.48)</f>
        <v>31</v>
      </c>
      <c r="C18" s="26">
        <f>INT(G1*4.25)</f>
        <v>276</v>
      </c>
      <c r="D18" s="3">
        <v>0</v>
      </c>
      <c r="E18" s="3">
        <v>0</v>
      </c>
      <c r="F18" s="3">
        <f t="shared" si="1"/>
        <v>0</v>
      </c>
    </row>
    <row r="19" spans="1:6" ht="9.75" customHeight="1">
      <c r="A19" s="108" t="s">
        <v>54</v>
      </c>
      <c r="B19" s="6">
        <f>INT(G1*0.48)</f>
        <v>31</v>
      </c>
      <c r="C19" s="26">
        <f>INT(G1*4.25)</f>
        <v>276</v>
      </c>
      <c r="D19" s="3">
        <v>0</v>
      </c>
      <c r="E19" s="3">
        <v>0</v>
      </c>
      <c r="F19" s="3">
        <f t="shared" si="1"/>
        <v>0</v>
      </c>
    </row>
    <row r="20" spans="1:6" ht="9.75" customHeight="1">
      <c r="A20" s="108" t="s">
        <v>55</v>
      </c>
      <c r="B20" s="6">
        <f>INT(G1*0.48)</f>
        <v>31</v>
      </c>
      <c r="C20" s="26">
        <f>INT(G1*4.25)</f>
        <v>276</v>
      </c>
      <c r="D20" s="3">
        <v>0</v>
      </c>
      <c r="E20" s="3">
        <v>0</v>
      </c>
      <c r="F20" s="3">
        <f t="shared" si="1"/>
        <v>0</v>
      </c>
    </row>
    <row r="21" spans="1:6" ht="9.75" customHeight="1">
      <c r="A21" s="108" t="s">
        <v>56</v>
      </c>
      <c r="B21" s="6">
        <f>INT(G1*0.48)</f>
        <v>31</v>
      </c>
      <c r="C21" s="26">
        <f>INT(G1*4.25)</f>
        <v>276</v>
      </c>
      <c r="D21" s="3">
        <v>0</v>
      </c>
      <c r="E21" s="3">
        <v>0</v>
      </c>
      <c r="F21" s="3">
        <f t="shared" si="1"/>
        <v>0</v>
      </c>
    </row>
    <row r="22" spans="1:6" ht="9.75" customHeight="1">
      <c r="A22" s="108" t="s">
        <v>57</v>
      </c>
      <c r="B22" s="6">
        <f>INT(G1*0.48)</f>
        <v>31</v>
      </c>
      <c r="C22" s="26">
        <f>INT(G1*4.25)</f>
        <v>276</v>
      </c>
      <c r="D22" s="3">
        <v>0</v>
      </c>
      <c r="E22" s="3">
        <v>0</v>
      </c>
      <c r="F22" s="3">
        <f t="shared" si="1"/>
        <v>0</v>
      </c>
    </row>
    <row r="23" spans="1:6" ht="9.75" customHeight="1">
      <c r="A23" s="108" t="s">
        <v>58</v>
      </c>
      <c r="B23" s="6">
        <f>INT(G1*0.48)</f>
        <v>31</v>
      </c>
      <c r="C23" s="26">
        <f>INT(G1*4.25)</f>
        <v>276</v>
      </c>
      <c r="D23" s="3">
        <v>0</v>
      </c>
      <c r="E23" s="3">
        <v>0</v>
      </c>
      <c r="F23" s="3">
        <f t="shared" si="1"/>
        <v>0</v>
      </c>
    </row>
    <row r="24" spans="1:6" ht="9.75" customHeight="1">
      <c r="A24" s="108" t="s">
        <v>59</v>
      </c>
      <c r="B24" s="6">
        <f>INT(G1*0.48)</f>
        <v>31</v>
      </c>
      <c r="C24" s="26">
        <f>INT(G1*4.25)</f>
        <v>276</v>
      </c>
      <c r="D24" s="3">
        <v>0</v>
      </c>
      <c r="E24" s="3">
        <v>0</v>
      </c>
      <c r="F24" s="3">
        <f t="shared" si="1"/>
        <v>0</v>
      </c>
    </row>
    <row r="25" spans="1:6" ht="9.75" customHeight="1">
      <c r="A25" s="108" t="s">
        <v>60</v>
      </c>
      <c r="B25" s="6">
        <f>INT(G1*0.48)</f>
        <v>31</v>
      </c>
      <c r="C25" s="26">
        <f>INT(G1*4.25)</f>
        <v>276</v>
      </c>
      <c r="D25" s="3">
        <v>0</v>
      </c>
      <c r="E25" s="3">
        <v>0</v>
      </c>
      <c r="F25" s="3">
        <f t="shared" si="1"/>
        <v>0</v>
      </c>
    </row>
    <row r="26" spans="1:6" ht="9.75" customHeight="1">
      <c r="A26" s="108" t="s">
        <v>61</v>
      </c>
      <c r="B26" s="6">
        <f>INT(G1*0.48)</f>
        <v>31</v>
      </c>
      <c r="C26" s="26">
        <f>INT(G1*4.25)</f>
        <v>276</v>
      </c>
      <c r="D26" s="3">
        <v>0</v>
      </c>
      <c r="E26" s="3">
        <v>0</v>
      </c>
      <c r="F26" s="3">
        <f t="shared" si="1"/>
        <v>0</v>
      </c>
    </row>
    <row r="27" spans="1:6" s="1" customFormat="1" ht="12" customHeight="1">
      <c r="A27" s="9" t="s">
        <v>63</v>
      </c>
      <c r="B27" s="10"/>
      <c r="C27" s="10"/>
      <c r="D27" s="10"/>
      <c r="E27" s="10"/>
      <c r="F27" s="18"/>
    </row>
    <row r="28" spans="1:6" ht="9.75" customHeight="1">
      <c r="A28" s="108" t="s">
        <v>62</v>
      </c>
      <c r="B28" s="6">
        <f>INT(G1*3.8)</f>
        <v>247</v>
      </c>
      <c r="C28" s="26">
        <f>INT(G1*33.75)</f>
        <v>2193</v>
      </c>
      <c r="D28" s="3">
        <v>0</v>
      </c>
      <c r="E28" s="3">
        <v>0</v>
      </c>
      <c r="F28" s="3">
        <f t="shared" si="1"/>
        <v>0</v>
      </c>
    </row>
    <row r="29" spans="1:6" ht="9.75" customHeight="1">
      <c r="A29" s="108" t="s">
        <v>64</v>
      </c>
      <c r="B29" s="6">
        <f>INT(G1*3.8)</f>
        <v>247</v>
      </c>
      <c r="C29" s="26">
        <f>INT(G1*33.75)</f>
        <v>2193</v>
      </c>
      <c r="D29" s="3">
        <v>0</v>
      </c>
      <c r="E29" s="3">
        <v>0</v>
      </c>
      <c r="F29" s="3">
        <f t="shared" si="1"/>
        <v>0</v>
      </c>
    </row>
    <row r="30" spans="1:6" ht="9.75" customHeight="1">
      <c r="A30" s="108" t="s">
        <v>65</v>
      </c>
      <c r="B30" s="6">
        <f>INT(G1*3.8)</f>
        <v>247</v>
      </c>
      <c r="C30" s="26">
        <f>INT(G1*33.75)</f>
        <v>2193</v>
      </c>
      <c r="D30" s="3">
        <v>0</v>
      </c>
      <c r="E30" s="3">
        <v>0</v>
      </c>
      <c r="F30" s="3">
        <f t="shared" si="1"/>
        <v>0</v>
      </c>
    </row>
    <row r="31" spans="1:6" ht="9.75" customHeight="1">
      <c r="A31" s="108" t="s">
        <v>66</v>
      </c>
      <c r="B31" s="6">
        <f>INT(G1*3.8)</f>
        <v>247</v>
      </c>
      <c r="C31" s="26">
        <f>INT(G1*33.75)</f>
        <v>2193</v>
      </c>
      <c r="D31" s="3">
        <v>0</v>
      </c>
      <c r="E31" s="3">
        <v>0</v>
      </c>
      <c r="F31" s="3">
        <f t="shared" si="1"/>
        <v>0</v>
      </c>
    </row>
    <row r="32" spans="1:6" ht="9.75" customHeight="1">
      <c r="A32" s="108" t="s">
        <v>67</v>
      </c>
      <c r="B32" s="6">
        <f>INT(G1*3.05)</f>
        <v>198</v>
      </c>
      <c r="C32" s="26">
        <f>INT(G1*27.5)</f>
        <v>1787</v>
      </c>
      <c r="D32" s="3">
        <v>0</v>
      </c>
      <c r="E32" s="3">
        <v>0</v>
      </c>
      <c r="F32" s="3">
        <f t="shared" si="1"/>
        <v>0</v>
      </c>
    </row>
    <row r="33" spans="1:6" ht="9.75" customHeight="1">
      <c r="A33" s="108" t="s">
        <v>68</v>
      </c>
      <c r="B33" s="6">
        <f>INT(G1*3.05)</f>
        <v>198</v>
      </c>
      <c r="C33" s="26">
        <f>INT(G1*27.5)</f>
        <v>1787</v>
      </c>
      <c r="D33" s="3">
        <v>0</v>
      </c>
      <c r="E33" s="3">
        <v>0</v>
      </c>
      <c r="F33" s="3">
        <f t="shared" si="1"/>
        <v>0</v>
      </c>
    </row>
    <row r="34" spans="1:6" ht="9.75" customHeight="1">
      <c r="A34" s="108" t="s">
        <v>69</v>
      </c>
      <c r="B34" s="6">
        <f>INT(G1*3.05)</f>
        <v>198</v>
      </c>
      <c r="C34" s="26">
        <f>INT(G1*27.5)</f>
        <v>1787</v>
      </c>
      <c r="D34" s="3">
        <v>0</v>
      </c>
      <c r="E34" s="3">
        <v>0</v>
      </c>
      <c r="F34" s="3">
        <f t="shared" si="1"/>
        <v>0</v>
      </c>
    </row>
    <row r="35" spans="1:6" ht="9.75" customHeight="1">
      <c r="A35" s="108" t="s">
        <v>70</v>
      </c>
      <c r="B35" s="6">
        <f>INT(G1*3.05)</f>
        <v>198</v>
      </c>
      <c r="C35" s="26">
        <f>INT(G1*27.5)</f>
        <v>1787</v>
      </c>
      <c r="D35" s="3">
        <v>0</v>
      </c>
      <c r="E35" s="3">
        <v>0</v>
      </c>
      <c r="F35" s="3">
        <f t="shared" si="1"/>
        <v>0</v>
      </c>
    </row>
    <row r="36" spans="1:6" s="1" customFormat="1" ht="11.25" customHeight="1">
      <c r="A36" s="43" t="s">
        <v>80</v>
      </c>
      <c r="B36" s="12"/>
      <c r="C36" s="12"/>
      <c r="D36" s="12"/>
      <c r="E36" s="12"/>
      <c r="F36" s="18"/>
    </row>
    <row r="37" spans="1:6" ht="9.75" customHeight="1">
      <c r="A37" s="108" t="s">
        <v>71</v>
      </c>
      <c r="B37" s="26">
        <f>INT(G1*1.95)</f>
        <v>126</v>
      </c>
      <c r="C37" s="26">
        <f>INT(G1*17.5)</f>
        <v>1137</v>
      </c>
      <c r="D37" s="3">
        <v>0</v>
      </c>
      <c r="E37" s="3">
        <v>0</v>
      </c>
      <c r="F37" s="3">
        <f t="shared" si="1"/>
        <v>0</v>
      </c>
    </row>
    <row r="38" spans="1:6" ht="9.75" customHeight="1">
      <c r="A38" s="108" t="s">
        <v>72</v>
      </c>
      <c r="B38" s="26">
        <f>INT(G1*1.95)</f>
        <v>126</v>
      </c>
      <c r="C38" s="26">
        <f>INT(G1*17.5)</f>
        <v>1137</v>
      </c>
      <c r="D38" s="3">
        <v>0</v>
      </c>
      <c r="E38" s="3">
        <v>0</v>
      </c>
      <c r="F38" s="3">
        <f t="shared" si="1"/>
        <v>0</v>
      </c>
    </row>
    <row r="39" spans="1:6" ht="9.75" customHeight="1">
      <c r="A39" s="108" t="s">
        <v>73</v>
      </c>
      <c r="B39" s="26">
        <f>INT(G1*1.95)</f>
        <v>126</v>
      </c>
      <c r="C39" s="26">
        <f>INT(G1*17.5)</f>
        <v>1137</v>
      </c>
      <c r="D39" s="3">
        <v>0</v>
      </c>
      <c r="E39" s="3">
        <v>0</v>
      </c>
      <c r="F39" s="3">
        <f t="shared" si="1"/>
        <v>0</v>
      </c>
    </row>
    <row r="40" spans="1:6" ht="9.75" customHeight="1">
      <c r="A40" s="108" t="s">
        <v>74</v>
      </c>
      <c r="B40" s="26">
        <f>INT(G1*1.95)</f>
        <v>126</v>
      </c>
      <c r="C40" s="26">
        <f>INT(G1*17.5)</f>
        <v>1137</v>
      </c>
      <c r="D40" s="3">
        <v>0</v>
      </c>
      <c r="E40" s="3">
        <v>0</v>
      </c>
      <c r="F40" s="3">
        <f t="shared" si="1"/>
        <v>0</v>
      </c>
    </row>
    <row r="41" spans="1:6" ht="9.75" customHeight="1">
      <c r="A41" s="108" t="s">
        <v>75</v>
      </c>
      <c r="B41" s="26">
        <f>INT(G1*1.95)</f>
        <v>126</v>
      </c>
      <c r="C41" s="26">
        <f>INT(G1*17.5)</f>
        <v>1137</v>
      </c>
      <c r="D41" s="3">
        <v>0</v>
      </c>
      <c r="E41" s="3">
        <v>0</v>
      </c>
      <c r="F41" s="3">
        <f t="shared" si="1"/>
        <v>0</v>
      </c>
    </row>
    <row r="42" spans="1:6" ht="9.75" customHeight="1">
      <c r="A42" s="108" t="s">
        <v>76</v>
      </c>
      <c r="B42" s="26">
        <f>INT(G1*1.95)</f>
        <v>126</v>
      </c>
      <c r="C42" s="26">
        <f>INT(G1*17.5)</f>
        <v>1137</v>
      </c>
      <c r="D42" s="3">
        <v>0</v>
      </c>
      <c r="E42" s="3">
        <v>0</v>
      </c>
      <c r="F42" s="3">
        <f t="shared" si="1"/>
        <v>0</v>
      </c>
    </row>
    <row r="43" spans="1:6" ht="9.75" customHeight="1">
      <c r="A43" s="108" t="s">
        <v>77</v>
      </c>
      <c r="B43" s="26">
        <f>INT(G1*1.95)</f>
        <v>126</v>
      </c>
      <c r="C43" s="26">
        <f>INT(G1*17.5)</f>
        <v>1137</v>
      </c>
      <c r="D43" s="3">
        <v>0</v>
      </c>
      <c r="E43" s="3">
        <v>0</v>
      </c>
      <c r="F43" s="3">
        <f t="shared" si="1"/>
        <v>0</v>
      </c>
    </row>
    <row r="44" spans="1:6" ht="9.75" customHeight="1">
      <c r="A44" s="108" t="s">
        <v>78</v>
      </c>
      <c r="B44" s="26">
        <f>INT(G1*1.95)</f>
        <v>126</v>
      </c>
      <c r="C44" s="26">
        <f>INT(G1*17.5)</f>
        <v>1137</v>
      </c>
      <c r="D44" s="3">
        <v>0</v>
      </c>
      <c r="E44" s="3">
        <v>0</v>
      </c>
      <c r="F44" s="3">
        <f>(B44*D44)+(C44*E44)</f>
        <v>0</v>
      </c>
    </row>
    <row r="45" spans="1:6" ht="9.75" customHeight="1">
      <c r="A45" s="23" t="s">
        <v>303</v>
      </c>
      <c r="B45" s="23"/>
      <c r="C45" s="23" t="s">
        <v>329</v>
      </c>
      <c r="D45" s="23" t="s">
        <v>328</v>
      </c>
      <c r="E45" s="23"/>
      <c r="F45" s="23"/>
    </row>
    <row r="46" spans="1:6" ht="9.75" customHeight="1">
      <c r="A46" s="108" t="s">
        <v>304</v>
      </c>
      <c r="B46" s="26">
        <f>INT(G1*0.77)</f>
        <v>50</v>
      </c>
      <c r="C46" s="26">
        <v>0</v>
      </c>
      <c r="D46" s="112"/>
      <c r="E46" s="3"/>
      <c r="F46" s="3">
        <f>(B46*C46)</f>
        <v>0</v>
      </c>
    </row>
    <row r="47" spans="1:6" ht="9.75" customHeight="1">
      <c r="A47" s="108" t="s">
        <v>305</v>
      </c>
      <c r="B47" s="26">
        <f>INT(G1*0.77)</f>
        <v>50</v>
      </c>
      <c r="C47" s="26">
        <v>0</v>
      </c>
      <c r="D47" s="112"/>
      <c r="E47" s="3"/>
      <c r="F47" s="3">
        <f>(B47*C47)</f>
        <v>0</v>
      </c>
    </row>
    <row r="48" spans="1:6" ht="9.75" customHeight="1">
      <c r="A48" s="108" t="s">
        <v>306</v>
      </c>
      <c r="B48" s="26">
        <f>INT(G1*0.9)</f>
        <v>58</v>
      </c>
      <c r="C48" s="26">
        <v>0</v>
      </c>
      <c r="D48" s="26">
        <v>0</v>
      </c>
      <c r="E48" s="3"/>
      <c r="F48" s="3">
        <f>(B48*C48)+((B48+60)*D48)</f>
        <v>0</v>
      </c>
    </row>
    <row r="49" spans="1:6" ht="9.75" customHeight="1">
      <c r="A49" s="108" t="s">
        <v>307</v>
      </c>
      <c r="B49" s="26">
        <f>INT(G1*0.95)</f>
        <v>61</v>
      </c>
      <c r="C49" s="26">
        <v>0</v>
      </c>
      <c r="D49" s="26">
        <v>0</v>
      </c>
      <c r="E49" s="3"/>
      <c r="F49" s="3">
        <f>(B49*C49)+((B49+60)*D49)</f>
        <v>0</v>
      </c>
    </row>
    <row r="50" spans="1:7" s="5" customFormat="1" ht="12.75" customHeight="1">
      <c r="A50" s="147" t="s">
        <v>79</v>
      </c>
      <c r="B50" s="147"/>
      <c r="C50" s="147"/>
      <c r="D50" s="147"/>
      <c r="E50" s="147"/>
      <c r="F50" s="15">
        <f>SUM(F5:F49)</f>
        <v>0</v>
      </c>
      <c r="G50" s="4"/>
    </row>
    <row r="51" spans="1:6" ht="14.25" customHeight="1">
      <c r="A51" s="122" t="s">
        <v>41</v>
      </c>
      <c r="B51" s="122"/>
      <c r="C51" s="122"/>
      <c r="D51" s="122"/>
      <c r="E51" s="122"/>
      <c r="F51" s="27">
        <f>F50+'Terochki.ru'!E149+'Massagerell.ru'!D8+'Сarapky.ru'!D35+'Btfly.ru'!E142+'Warbrushes.ru'!D22</f>
        <v>0</v>
      </c>
    </row>
    <row r="52" spans="1:6" ht="12.75" customHeight="1">
      <c r="A52" s="144" t="s">
        <v>97</v>
      </c>
      <c r="B52" s="144"/>
      <c r="C52" s="144"/>
      <c r="D52" s="144"/>
      <c r="E52" s="144"/>
      <c r="F52" s="144"/>
    </row>
  </sheetData>
  <sheetProtection/>
  <mergeCells count="12">
    <mergeCell ref="A52:F52"/>
    <mergeCell ref="A50:E50"/>
    <mergeCell ref="A51:E51"/>
    <mergeCell ref="D2:D3"/>
    <mergeCell ref="A4:C4"/>
    <mergeCell ref="A1:F1"/>
    <mergeCell ref="A2:A3"/>
    <mergeCell ref="B2:B3"/>
    <mergeCell ref="C2:C3"/>
    <mergeCell ref="E2:E3"/>
    <mergeCell ref="A12:C12"/>
    <mergeCell ref="F2:F3"/>
  </mergeCells>
  <hyperlinks>
    <hyperlink ref="A13:A26" r:id="rId1" display="01 Сплошная радость"/>
    <hyperlink ref="A28:A35" r:id="rId2" display="60 Восьмиресничные 13 мм"/>
    <hyperlink ref="A37:A44" r:id="rId3" display="80 Двадцатьпяточка 14 мм"/>
    <hyperlink ref="A46:A47" r:id="rId4" display="Клей чёрный 1 гр."/>
    <hyperlink ref="A48:A49" r:id="rId5" display="Пинцет игла  для ресниц 337"/>
    <hyperlink ref="A11:A12" r:id="rId6" display="01 Сплошная радость"/>
    <hyperlink ref="A5" r:id="rId7" display="01 Сплошная радость"/>
    <hyperlink ref="A5:A11" r:id="rId8" display="Зеркальце Земляника new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2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140625" style="2" customWidth="1"/>
    <col min="2" max="2" width="13.8515625" style="2" customWidth="1"/>
    <col min="3" max="3" width="15.140625" style="2" customWidth="1"/>
    <col min="4" max="4" width="12.00390625" style="2" customWidth="1"/>
    <col min="5" max="5" width="15.421875" style="2" customWidth="1"/>
    <col min="6" max="16384" width="9.140625" style="2" customWidth="1"/>
  </cols>
  <sheetData>
    <row r="1" spans="1:5" ht="48.75" customHeight="1">
      <c r="A1" s="154" t="s">
        <v>301</v>
      </c>
      <c r="B1" s="154"/>
      <c r="C1" s="154"/>
      <c r="D1" s="154"/>
      <c r="E1" s="63">
        <v>65</v>
      </c>
    </row>
    <row r="2" spans="1:5" ht="11.25" customHeight="1">
      <c r="A2" s="155" t="s">
        <v>102</v>
      </c>
      <c r="B2" s="155"/>
      <c r="C2" s="155"/>
      <c r="D2" s="155"/>
      <c r="E2" s="47" t="s">
        <v>109</v>
      </c>
    </row>
    <row r="3" spans="1:5" ht="11.25" customHeight="1">
      <c r="A3" s="19" t="s">
        <v>0</v>
      </c>
      <c r="B3" s="19" t="s">
        <v>18</v>
      </c>
      <c r="C3" s="19" t="s">
        <v>19</v>
      </c>
      <c r="D3" s="19" t="s">
        <v>1</v>
      </c>
      <c r="E3" s="66" t="s">
        <v>110</v>
      </c>
    </row>
    <row r="4" spans="1:5" ht="12" customHeight="1">
      <c r="A4" s="20" t="s">
        <v>81</v>
      </c>
      <c r="B4" s="32"/>
      <c r="C4" s="33"/>
      <c r="D4" s="34"/>
      <c r="E4" s="76" t="s">
        <v>418</v>
      </c>
    </row>
    <row r="5" spans="1:4" ht="9.75" customHeight="1">
      <c r="A5" s="108" t="s">
        <v>24</v>
      </c>
      <c r="B5" s="14">
        <f>INT(E1*2)</f>
        <v>130</v>
      </c>
      <c r="C5" s="29">
        <v>0</v>
      </c>
      <c r="D5" s="30">
        <f>(B5*C5)</f>
        <v>0</v>
      </c>
    </row>
    <row r="6" spans="1:4" ht="9.75" customHeight="1">
      <c r="A6" s="108" t="s">
        <v>25</v>
      </c>
      <c r="B6" s="14">
        <f>INT(E1*2)</f>
        <v>130</v>
      </c>
      <c r="C6" s="29">
        <v>0</v>
      </c>
      <c r="D6" s="30">
        <f>(B6*C6)</f>
        <v>0</v>
      </c>
    </row>
    <row r="7" spans="1:4" ht="9.75" customHeight="1">
      <c r="A7" s="108" t="s">
        <v>26</v>
      </c>
      <c r="B7" s="14">
        <f>INT(E1*2)</f>
        <v>130</v>
      </c>
      <c r="C7" s="29">
        <v>0</v>
      </c>
      <c r="D7" s="30">
        <f>(B7*C7)</f>
        <v>0</v>
      </c>
    </row>
    <row r="8" spans="1:4" ht="9.75" customHeight="1">
      <c r="A8" s="108" t="s">
        <v>105</v>
      </c>
      <c r="B8" s="14">
        <f>INT(E1*2)</f>
        <v>130</v>
      </c>
      <c r="C8" s="29">
        <v>0</v>
      </c>
      <c r="D8" s="30">
        <f aca="true" t="shared" si="0" ref="D8:D16">(B8*C8)</f>
        <v>0</v>
      </c>
    </row>
    <row r="9" spans="1:4" ht="9.75" customHeight="1">
      <c r="A9" s="108" t="s">
        <v>104</v>
      </c>
      <c r="B9" s="14">
        <f>INT(E1*2)</f>
        <v>130</v>
      </c>
      <c r="C9" s="29">
        <v>0</v>
      </c>
      <c r="D9" s="30">
        <f t="shared" si="0"/>
        <v>0</v>
      </c>
    </row>
    <row r="10" spans="1:4" ht="9.75" customHeight="1">
      <c r="A10" s="108" t="s">
        <v>27</v>
      </c>
      <c r="B10" s="14">
        <f>INT(E1*2)</f>
        <v>130</v>
      </c>
      <c r="C10" s="29">
        <v>0</v>
      </c>
      <c r="D10" s="30">
        <f t="shared" si="0"/>
        <v>0</v>
      </c>
    </row>
    <row r="11" spans="1:4" ht="9.75" customHeight="1">
      <c r="A11" s="108" t="s">
        <v>103</v>
      </c>
      <c r="B11" s="14">
        <f>INT(E1*2)</f>
        <v>130</v>
      </c>
      <c r="C11" s="29">
        <v>0</v>
      </c>
      <c r="D11" s="30">
        <f>(B11*C11)</f>
        <v>0</v>
      </c>
    </row>
    <row r="12" spans="1:4" ht="9.75" customHeight="1">
      <c r="A12" s="108" t="s">
        <v>28</v>
      </c>
      <c r="B12" s="14">
        <f>INT(E1*2)</f>
        <v>130</v>
      </c>
      <c r="C12" s="29">
        <v>0</v>
      </c>
      <c r="D12" s="30">
        <f>(B12*C12)</f>
        <v>0</v>
      </c>
    </row>
    <row r="13" spans="1:4" ht="9.75" customHeight="1">
      <c r="A13" s="108" t="s">
        <v>106</v>
      </c>
      <c r="B13" s="14">
        <f>INT(E1*2)</f>
        <v>130</v>
      </c>
      <c r="C13" s="29">
        <v>0</v>
      </c>
      <c r="D13" s="30">
        <f>(B13*C13)</f>
        <v>0</v>
      </c>
    </row>
    <row r="14" spans="1:4" ht="9.75" customHeight="1">
      <c r="A14" s="108" t="s">
        <v>29</v>
      </c>
      <c r="B14" s="14">
        <f>INT(E1*2)</f>
        <v>130</v>
      </c>
      <c r="C14" s="29">
        <v>0</v>
      </c>
      <c r="D14" s="30">
        <f t="shared" si="0"/>
        <v>0</v>
      </c>
    </row>
    <row r="15" spans="1:4" ht="9.75" customHeight="1">
      <c r="A15" s="108" t="s">
        <v>30</v>
      </c>
      <c r="B15" s="14">
        <f>INT(E1*2)</f>
        <v>130</v>
      </c>
      <c r="C15" s="29">
        <v>0</v>
      </c>
      <c r="D15" s="30">
        <f t="shared" si="0"/>
        <v>0</v>
      </c>
    </row>
    <row r="16" spans="1:4" ht="9.75" customHeight="1">
      <c r="A16" s="108" t="s">
        <v>31</v>
      </c>
      <c r="B16" s="14">
        <f>INT(E1*2)</f>
        <v>130</v>
      </c>
      <c r="C16" s="29">
        <v>0</v>
      </c>
      <c r="D16" s="30">
        <f t="shared" si="0"/>
        <v>0</v>
      </c>
    </row>
    <row r="17" spans="1:4" ht="9.75" customHeight="1">
      <c r="A17" s="21" t="s">
        <v>32</v>
      </c>
      <c r="B17" s="40"/>
      <c r="C17" s="24"/>
      <c r="D17" s="22"/>
    </row>
    <row r="18" spans="1:4" ht="9.75" customHeight="1">
      <c r="A18" s="108" t="s">
        <v>33</v>
      </c>
      <c r="B18" s="14">
        <f>INT(E1*2)</f>
        <v>130</v>
      </c>
      <c r="C18" s="29">
        <v>0</v>
      </c>
      <c r="D18" s="30">
        <f aca="true" t="shared" si="1" ref="D18:D25">(B18*C18)</f>
        <v>0</v>
      </c>
    </row>
    <row r="19" spans="1:4" ht="9.75" customHeight="1">
      <c r="A19" s="108" t="s">
        <v>34</v>
      </c>
      <c r="B19" s="14">
        <f>INT(E1*2)</f>
        <v>130</v>
      </c>
      <c r="C19" s="29">
        <v>0</v>
      </c>
      <c r="D19" s="30">
        <f t="shared" si="1"/>
        <v>0</v>
      </c>
    </row>
    <row r="20" spans="1:4" ht="9.75" customHeight="1">
      <c r="A20" s="108" t="s">
        <v>35</v>
      </c>
      <c r="B20" s="14">
        <f>INT(E1*2)</f>
        <v>130</v>
      </c>
      <c r="C20" s="29">
        <v>0</v>
      </c>
      <c r="D20" s="30">
        <f t="shared" si="1"/>
        <v>0</v>
      </c>
    </row>
    <row r="21" spans="1:4" ht="9.75" customHeight="1">
      <c r="A21" s="108" t="s">
        <v>36</v>
      </c>
      <c r="B21" s="14">
        <f>INT(E1*2)</f>
        <v>130</v>
      </c>
      <c r="C21" s="29">
        <v>0</v>
      </c>
      <c r="D21" s="30">
        <f t="shared" si="1"/>
        <v>0</v>
      </c>
    </row>
    <row r="22" spans="1:4" ht="9.75" customHeight="1">
      <c r="A22" s="108" t="s">
        <v>37</v>
      </c>
      <c r="B22" s="14">
        <f>INT(E1*2)</f>
        <v>130</v>
      </c>
      <c r="C22" s="29">
        <v>0</v>
      </c>
      <c r="D22" s="30">
        <f t="shared" si="1"/>
        <v>0</v>
      </c>
    </row>
    <row r="23" spans="1:4" ht="9.75" customHeight="1">
      <c r="A23" s="108" t="s">
        <v>38</v>
      </c>
      <c r="B23" s="14">
        <f>INT(E1*2)</f>
        <v>130</v>
      </c>
      <c r="C23" s="29">
        <v>0</v>
      </c>
      <c r="D23" s="30">
        <f t="shared" si="1"/>
        <v>0</v>
      </c>
    </row>
    <row r="24" spans="1:4" ht="9.75" customHeight="1">
      <c r="A24" s="108" t="s">
        <v>39</v>
      </c>
      <c r="B24" s="14">
        <f>INT(E1*2)</f>
        <v>130</v>
      </c>
      <c r="C24" s="29">
        <v>0</v>
      </c>
      <c r="D24" s="30">
        <f t="shared" si="1"/>
        <v>0</v>
      </c>
    </row>
    <row r="25" spans="1:4" ht="9.75" customHeight="1">
      <c r="A25" s="108" t="s">
        <v>40</v>
      </c>
      <c r="B25" s="14">
        <f>INT(E1*2)</f>
        <v>130</v>
      </c>
      <c r="C25" s="29">
        <v>0</v>
      </c>
      <c r="D25" s="30">
        <f t="shared" si="1"/>
        <v>0</v>
      </c>
    </row>
    <row r="26" spans="1:4" ht="9.75" customHeight="1">
      <c r="A26" s="23" t="s">
        <v>20</v>
      </c>
      <c r="B26" s="35"/>
      <c r="C26" s="33"/>
      <c r="D26" s="36"/>
    </row>
    <row r="27" spans="1:4" ht="9.75" customHeight="1">
      <c r="A27" s="108" t="s">
        <v>84</v>
      </c>
      <c r="B27" s="14">
        <f>INT(E1*2.75)</f>
        <v>178</v>
      </c>
      <c r="C27" s="29">
        <v>0</v>
      </c>
      <c r="D27" s="30">
        <f aca="true" t="shared" si="2" ref="D27:D32">(B27*C27)</f>
        <v>0</v>
      </c>
    </row>
    <row r="28" spans="1:4" ht="9.75" customHeight="1">
      <c r="A28" s="108" t="s">
        <v>89</v>
      </c>
      <c r="B28" s="14">
        <f>INT(E1*2.75)</f>
        <v>178</v>
      </c>
      <c r="C28" s="29">
        <v>0</v>
      </c>
      <c r="D28" s="30">
        <f t="shared" si="2"/>
        <v>0</v>
      </c>
    </row>
    <row r="29" spans="1:4" ht="9.75" customHeight="1">
      <c r="A29" s="108" t="s">
        <v>85</v>
      </c>
      <c r="B29" s="14">
        <f>INT(E1*3)</f>
        <v>195</v>
      </c>
      <c r="C29" s="29">
        <v>0</v>
      </c>
      <c r="D29" s="30">
        <f t="shared" si="2"/>
        <v>0</v>
      </c>
    </row>
    <row r="30" spans="1:4" ht="9.75" customHeight="1">
      <c r="A30" s="108" t="s">
        <v>88</v>
      </c>
      <c r="B30" s="14">
        <f>INT(E1*3)</f>
        <v>195</v>
      </c>
      <c r="C30" s="29">
        <v>0</v>
      </c>
      <c r="D30" s="30">
        <f t="shared" si="2"/>
        <v>0</v>
      </c>
    </row>
    <row r="31" spans="1:4" ht="9.75" customHeight="1">
      <c r="A31" s="108" t="s">
        <v>86</v>
      </c>
      <c r="B31" s="14">
        <f>INT(E1*3.25)</f>
        <v>211</v>
      </c>
      <c r="C31" s="29">
        <v>0</v>
      </c>
      <c r="D31" s="30">
        <f t="shared" si="2"/>
        <v>0</v>
      </c>
    </row>
    <row r="32" spans="1:4" ht="9.75" customHeight="1">
      <c r="A32" s="108" t="s">
        <v>87</v>
      </c>
      <c r="B32" s="14">
        <f>INT(E1*3.25)</f>
        <v>211</v>
      </c>
      <c r="C32" s="29">
        <v>0</v>
      </c>
      <c r="D32" s="30">
        <f t="shared" si="2"/>
        <v>0</v>
      </c>
    </row>
    <row r="33" spans="1:4" ht="9.75" customHeight="1">
      <c r="A33" s="21" t="s">
        <v>82</v>
      </c>
      <c r="B33" s="37"/>
      <c r="C33" s="38"/>
      <c r="D33" s="39"/>
    </row>
    <row r="34" spans="1:4" ht="9.75" customHeight="1">
      <c r="A34" s="108" t="s">
        <v>83</v>
      </c>
      <c r="B34" s="18">
        <f>INT(E1*1.625)</f>
        <v>105</v>
      </c>
      <c r="C34" s="30">
        <v>0</v>
      </c>
      <c r="D34" s="30">
        <f>(B34*C34)</f>
        <v>0</v>
      </c>
    </row>
    <row r="35" spans="1:4" ht="12" customHeight="1">
      <c r="A35" s="151" t="s">
        <v>90</v>
      </c>
      <c r="B35" s="152"/>
      <c r="C35" s="152"/>
      <c r="D35" s="31">
        <f>SUM(D5:D34)</f>
        <v>0</v>
      </c>
    </row>
    <row r="36" spans="1:14" ht="12.75" customHeight="1">
      <c r="A36" s="122" t="s">
        <v>41</v>
      </c>
      <c r="B36" s="122"/>
      <c r="C36" s="122"/>
      <c r="D36" s="41">
        <f>D35+'Terochki.ru'!E149+'Massagerell.ru'!D8+'Btfly.ru'!E142+'2Resnichki.ru'!F50+'Warbrushes.ru'!D22</f>
        <v>0</v>
      </c>
      <c r="E36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1:4" ht="12.75" customHeight="1">
      <c r="A37" s="144" t="s">
        <v>97</v>
      </c>
      <c r="B37" s="144"/>
      <c r="C37" s="144"/>
      <c r="D37" s="144"/>
    </row>
    <row r="39" ht="11.25" customHeight="1"/>
    <row r="45" ht="11.25" customHeight="1"/>
    <row r="48" ht="10.5" customHeight="1"/>
    <row r="54" ht="10.5" customHeight="1"/>
    <row r="59" spans="1:4" s="16" customFormat="1" ht="10.5" customHeight="1">
      <c r="A59" s="2"/>
      <c r="B59" s="2"/>
      <c r="C59" s="2"/>
      <c r="D59" s="2"/>
    </row>
    <row r="62" ht="15" customHeight="1">
      <c r="E62" s="17"/>
    </row>
  </sheetData>
  <sheetProtection/>
  <mergeCells count="6">
    <mergeCell ref="A35:C35"/>
    <mergeCell ref="A36:C36"/>
    <mergeCell ref="F36:N36"/>
    <mergeCell ref="A1:D1"/>
    <mergeCell ref="A2:D2"/>
    <mergeCell ref="A37:D37"/>
  </mergeCells>
  <hyperlinks>
    <hyperlink ref="A2" r:id="rId1" display="http://www.carapky.ru/content/tseny-na-tsarapki-i-nezagryazinki"/>
    <hyperlink ref="A5:A16" r:id="rId2" display="Царапки  розовые"/>
    <hyperlink ref="A18:A25" r:id="rId3" display="Царапки серые S"/>
    <hyperlink ref="A27:A32" r:id="rId4" display="Незагрязинки серые  S (маленькие)"/>
    <hyperlink ref="A34" r:id="rId5" display="Пилка для подпиливания когтей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0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31.00390625" style="2" customWidth="1"/>
    <col min="2" max="2" width="13.8515625" style="2" customWidth="1"/>
    <col min="3" max="3" width="11.421875" style="2" customWidth="1"/>
    <col min="4" max="4" width="11.57421875" style="2" customWidth="1"/>
    <col min="5" max="5" width="15.57421875" style="2" customWidth="1"/>
    <col min="6" max="16384" width="9.140625" style="2" customWidth="1"/>
  </cols>
  <sheetData>
    <row r="1" spans="1:5" ht="51.75" customHeight="1">
      <c r="A1" s="145" t="s">
        <v>301</v>
      </c>
      <c r="B1" s="146"/>
      <c r="C1" s="146"/>
      <c r="D1" s="146"/>
      <c r="E1" s="63">
        <v>65</v>
      </c>
    </row>
    <row r="2" spans="1:5" ht="10.5" customHeight="1">
      <c r="A2" s="128" t="s">
        <v>0</v>
      </c>
      <c r="B2" s="118" t="s">
        <v>21</v>
      </c>
      <c r="C2" s="128" t="s">
        <v>19</v>
      </c>
      <c r="D2" s="128" t="s">
        <v>1</v>
      </c>
      <c r="E2" s="47" t="s">
        <v>109</v>
      </c>
    </row>
    <row r="3" spans="1:5" ht="15" customHeight="1">
      <c r="A3" s="128"/>
      <c r="B3" s="119"/>
      <c r="C3" s="128"/>
      <c r="D3" s="128"/>
      <c r="E3" s="66" t="s">
        <v>110</v>
      </c>
    </row>
    <row r="4" spans="1:5" s="1" customFormat="1" ht="11.25" customHeight="1">
      <c r="A4" s="12" t="s">
        <v>46</v>
      </c>
      <c r="B4" s="12"/>
      <c r="C4" s="12"/>
      <c r="D4" s="7"/>
      <c r="E4" s="89" t="s">
        <v>417</v>
      </c>
    </row>
    <row r="5" spans="1:4" ht="9.75" customHeight="1">
      <c r="A5" s="108" t="s">
        <v>42</v>
      </c>
      <c r="B5" s="8">
        <f>INT(E1*1.125)</f>
        <v>73</v>
      </c>
      <c r="C5" s="3">
        <v>0</v>
      </c>
      <c r="D5" s="3">
        <f>(B5*C5)</f>
        <v>0</v>
      </c>
    </row>
    <row r="6" spans="1:4" ht="9.75" customHeight="1">
      <c r="A6" s="108" t="s">
        <v>43</v>
      </c>
      <c r="B6" s="8">
        <f>INT(E1*1.5)</f>
        <v>97</v>
      </c>
      <c r="C6" s="3">
        <v>0</v>
      </c>
      <c r="D6" s="3">
        <f>(B6*C6)</f>
        <v>0</v>
      </c>
    </row>
    <row r="7" spans="1:4" ht="9.75" customHeight="1">
      <c r="A7" s="108" t="s">
        <v>44</v>
      </c>
      <c r="B7" s="8">
        <f>INT(E1*1.375)</f>
        <v>89</v>
      </c>
      <c r="C7" s="3">
        <v>0</v>
      </c>
      <c r="D7" s="3">
        <f>(B7*C7)</f>
        <v>0</v>
      </c>
    </row>
    <row r="8" spans="1:5" s="5" customFormat="1" ht="12" customHeight="1">
      <c r="A8" s="147" t="s">
        <v>22</v>
      </c>
      <c r="B8" s="147"/>
      <c r="C8" s="147"/>
      <c r="D8" s="15">
        <f>SUM(D4:D7)</f>
        <v>0</v>
      </c>
      <c r="E8" s="4"/>
    </row>
    <row r="9" spans="1:4" ht="13.5" customHeight="1">
      <c r="A9" s="122" t="s">
        <v>41</v>
      </c>
      <c r="B9" s="143"/>
      <c r="C9" s="143"/>
      <c r="D9" s="27">
        <f>D8+'Terochki.ru'!E149+'Btfly.ru'!E142+'Сarapky.ru'!D35+'2Resnichki.ru'!F50+'Warbrushes.ru'!D22</f>
        <v>0</v>
      </c>
    </row>
    <row r="10" spans="1:4" ht="13.5" customHeight="1">
      <c r="A10" s="144" t="s">
        <v>97</v>
      </c>
      <c r="B10" s="144"/>
      <c r="C10" s="144"/>
      <c r="D10" s="144"/>
    </row>
    <row r="11" ht="9.75" customHeight="1"/>
  </sheetData>
  <sheetProtection/>
  <mergeCells count="8">
    <mergeCell ref="A10:D10"/>
    <mergeCell ref="A8:C8"/>
    <mergeCell ref="A9:C9"/>
    <mergeCell ref="A1:D1"/>
    <mergeCell ref="A2:A3"/>
    <mergeCell ref="B2:B3"/>
    <mergeCell ref="C2:C3"/>
    <mergeCell ref="D2:D3"/>
  </mergeCells>
  <hyperlinks>
    <hyperlink ref="A5:A7" r:id="rId1" display="Массажер  двухволновой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Acer</cp:lastModifiedBy>
  <dcterms:created xsi:type="dcterms:W3CDTF">2012-01-02T21:25:59Z</dcterms:created>
  <dcterms:modified xsi:type="dcterms:W3CDTF">2019-02-05T10:45:09Z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